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inrockintl.sharepoint.com/sites/Collab/ACR/Operations/Marketing &amp; Communications/website/Web update docs/2022-07-12/"/>
    </mc:Choice>
  </mc:AlternateContent>
  <xr:revisionPtr revIDLastSave="1" documentId="13_ncr:1_{3DBAD560-8A12-4357-9895-4514758C68E5}" xr6:coauthVersionLast="47" xr6:coauthVersionMax="47" xr10:uidLastSave="{A93DB86B-C78A-4573-B96F-279349C4D8CD}"/>
  <bookViews>
    <workbookView xWindow="1900" yWindow="1900" windowWidth="14400" windowHeight="7360" xr2:uid="{00000000-000D-0000-FFFF-FFFF00000000}"/>
  </bookViews>
  <sheets>
    <sheet name="Title and Version" sheetId="17" r:id="rId1"/>
    <sheet name="Example A-No Harvest Project" sheetId="13" r:id="rId2"/>
    <sheet name="Example B-Light Harvest Project" sheetId="16" r:id="rId3"/>
    <sheet name="Graphs" sheetId="7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6" l="1"/>
  <c r="F28" i="16" s="1"/>
  <c r="G28" i="16" s="1"/>
  <c r="H28" i="16" s="1"/>
  <c r="I28" i="16" s="1"/>
  <c r="J28" i="16" s="1"/>
  <c r="K28" i="16" s="1"/>
  <c r="L28" i="16" s="1"/>
  <c r="M28" i="16" s="1"/>
  <c r="N28" i="16" s="1"/>
  <c r="O28" i="16" s="1"/>
  <c r="P28" i="16" s="1"/>
  <c r="Q28" i="16" s="1"/>
  <c r="R28" i="16" s="1"/>
  <c r="S28" i="16" s="1"/>
  <c r="T28" i="16" s="1"/>
  <c r="U28" i="16" s="1"/>
  <c r="V28" i="16" s="1"/>
  <c r="W28" i="16" s="1"/>
  <c r="X28" i="16" s="1"/>
  <c r="E27" i="16"/>
  <c r="F27" i="16" s="1"/>
  <c r="G27" i="16" s="1"/>
  <c r="H27" i="16" s="1"/>
  <c r="I27" i="16" s="1"/>
  <c r="J27" i="16" s="1"/>
  <c r="K27" i="16" s="1"/>
  <c r="L27" i="16" s="1"/>
  <c r="M27" i="16" s="1"/>
  <c r="N27" i="16" s="1"/>
  <c r="O27" i="16" s="1"/>
  <c r="P27" i="16" s="1"/>
  <c r="Q27" i="16" s="1"/>
  <c r="R27" i="16" s="1"/>
  <c r="S27" i="16" s="1"/>
  <c r="T27" i="16" s="1"/>
  <c r="U27" i="16" s="1"/>
  <c r="V27" i="16" s="1"/>
  <c r="W27" i="16" s="1"/>
  <c r="X27" i="16" s="1"/>
  <c r="X38" i="16"/>
  <c r="W38" i="16"/>
  <c r="V38" i="16"/>
  <c r="U38" i="16"/>
  <c r="T38" i="16"/>
  <c r="S38" i="16"/>
  <c r="R38" i="16"/>
  <c r="Q38" i="16"/>
  <c r="P3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E39" i="13"/>
  <c r="D37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P38" i="13"/>
  <c r="Q38" i="13"/>
  <c r="R38" i="13"/>
  <c r="S38" i="13"/>
  <c r="T38" i="13"/>
  <c r="U38" i="13"/>
  <c r="U39" i="13" s="1"/>
  <c r="V38" i="13"/>
  <c r="V39" i="13" s="1"/>
  <c r="W38" i="13"/>
  <c r="W39" i="13" s="1"/>
  <c r="X38" i="13"/>
  <c r="O38" i="13"/>
  <c r="F38" i="13"/>
  <c r="F39" i="13" s="1"/>
  <c r="G38" i="13"/>
  <c r="H38" i="13"/>
  <c r="I38" i="13"/>
  <c r="J38" i="13"/>
  <c r="J39" i="13" s="1"/>
  <c r="K38" i="13"/>
  <c r="L38" i="13"/>
  <c r="M38" i="13"/>
  <c r="M39" i="13" s="1"/>
  <c r="N38" i="13"/>
  <c r="N39" i="13"/>
  <c r="X39" i="13"/>
  <c r="Q39" i="13"/>
  <c r="P39" i="13"/>
  <c r="H39" i="13"/>
  <c r="I39" i="13"/>
  <c r="K39" i="13"/>
  <c r="L39" i="13"/>
  <c r="S39" i="13"/>
  <c r="T39" i="13"/>
  <c r="D38" i="13"/>
  <c r="G39" i="13"/>
  <c r="O39" i="13"/>
  <c r="R39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E38" i="13"/>
  <c r="E28" i="13" l="1"/>
  <c r="E29" i="13" s="1"/>
  <c r="D69" i="13"/>
  <c r="X70" i="13"/>
  <c r="W70" i="13"/>
  <c r="V70" i="13"/>
  <c r="U70" i="13"/>
  <c r="T70" i="13"/>
  <c r="S70" i="13"/>
  <c r="R70" i="13"/>
  <c r="Q70" i="13"/>
  <c r="P70" i="13"/>
  <c r="O70" i="13"/>
  <c r="N70" i="13"/>
  <c r="M70" i="13"/>
  <c r="L70" i="13"/>
  <c r="K70" i="13"/>
  <c r="J70" i="13"/>
  <c r="I70" i="13"/>
  <c r="H70" i="13"/>
  <c r="G70" i="13"/>
  <c r="F70" i="13"/>
  <c r="E70" i="13"/>
  <c r="D70" i="13"/>
  <c r="X68" i="13"/>
  <c r="W68" i="13"/>
  <c r="V68" i="13"/>
  <c r="U68" i="13"/>
  <c r="T68" i="13"/>
  <c r="S68" i="13"/>
  <c r="R68" i="13"/>
  <c r="Q68" i="13"/>
  <c r="P68" i="13"/>
  <c r="O68" i="13"/>
  <c r="N68" i="13"/>
  <c r="M68" i="13"/>
  <c r="L68" i="13"/>
  <c r="K68" i="13"/>
  <c r="J68" i="13"/>
  <c r="I68" i="13"/>
  <c r="H68" i="13"/>
  <c r="G68" i="13"/>
  <c r="F68" i="13"/>
  <c r="E68" i="13"/>
  <c r="D68" i="13"/>
  <c r="D67" i="13"/>
  <c r="D69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Q68" i="16"/>
  <c r="R68" i="16"/>
  <c r="S68" i="16"/>
  <c r="T68" i="16"/>
  <c r="U68" i="16"/>
  <c r="V68" i="16"/>
  <c r="W68" i="16"/>
  <c r="X68" i="16"/>
  <c r="D68" i="16"/>
  <c r="D67" i="16"/>
  <c r="E70" i="16"/>
  <c r="F70" i="16"/>
  <c r="G70" i="16"/>
  <c r="H70" i="16"/>
  <c r="I70" i="16"/>
  <c r="J70" i="16"/>
  <c r="K70" i="16"/>
  <c r="L70" i="16"/>
  <c r="M70" i="16"/>
  <c r="N70" i="16"/>
  <c r="O70" i="16"/>
  <c r="P70" i="16"/>
  <c r="Q70" i="16"/>
  <c r="R70" i="16"/>
  <c r="S70" i="16"/>
  <c r="T70" i="16"/>
  <c r="U70" i="16"/>
  <c r="V70" i="16"/>
  <c r="W70" i="16"/>
  <c r="X70" i="16"/>
  <c r="D70" i="16"/>
  <c r="E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X35" i="16"/>
  <c r="E35" i="16"/>
  <c r="E29" i="16"/>
  <c r="E69" i="16" s="1"/>
  <c r="E27" i="13"/>
  <c r="F27" i="13" s="1"/>
  <c r="E69" i="13" l="1"/>
  <c r="E30" i="13"/>
  <c r="E30" i="16"/>
  <c r="F29" i="16" l="1"/>
  <c r="F30" i="16" s="1"/>
  <c r="T37" i="16" l="1"/>
  <c r="L37" i="16"/>
  <c r="D37" i="16"/>
  <c r="R37" i="16"/>
  <c r="M37" i="16"/>
  <c r="S37" i="16"/>
  <c r="K37" i="16"/>
  <c r="J37" i="16"/>
  <c r="Q37" i="16"/>
  <c r="I37" i="16"/>
  <c r="F37" i="16"/>
  <c r="U37" i="16"/>
  <c r="X37" i="16"/>
  <c r="P37" i="16"/>
  <c r="H37" i="16"/>
  <c r="G37" i="16"/>
  <c r="N37" i="16"/>
  <c r="E37" i="16"/>
  <c r="E39" i="16" s="1"/>
  <c r="E40" i="16" s="1"/>
  <c r="E42" i="16" s="1"/>
  <c r="W37" i="16"/>
  <c r="O37" i="16"/>
  <c r="V37" i="16"/>
  <c r="G29" i="16"/>
  <c r="G30" i="16" s="1"/>
  <c r="E20" i="16"/>
  <c r="F20" i="16" s="1"/>
  <c r="G20" i="16" s="1"/>
  <c r="H20" i="16" s="1"/>
  <c r="I20" i="16" s="1"/>
  <c r="J20" i="16" s="1"/>
  <c r="K20" i="16" s="1"/>
  <c r="L20" i="16" s="1"/>
  <c r="M20" i="16" s="1"/>
  <c r="N20" i="16" s="1"/>
  <c r="O20" i="16" s="1"/>
  <c r="P20" i="16" s="1"/>
  <c r="Q20" i="16" s="1"/>
  <c r="R20" i="16" s="1"/>
  <c r="S20" i="16" s="1"/>
  <c r="T20" i="16" s="1"/>
  <c r="U20" i="16" s="1"/>
  <c r="V20" i="16" s="1"/>
  <c r="W20" i="16" s="1"/>
  <c r="X20" i="16" s="1"/>
  <c r="E60" i="16" l="1"/>
  <c r="E61" i="16" s="1"/>
  <c r="H29" i="16"/>
  <c r="H30" i="16" s="1"/>
  <c r="E62" i="16" l="1"/>
  <c r="E63" i="16"/>
  <c r="I29" i="16"/>
  <c r="J29" i="16" s="1"/>
  <c r="J30" i="16" s="1"/>
  <c r="K29" i="16" l="1"/>
  <c r="K30" i="16" s="1"/>
  <c r="I30" i="16"/>
  <c r="F69" i="16"/>
  <c r="G69" i="16"/>
  <c r="L29" i="16" l="1"/>
  <c r="L30" i="16" s="1"/>
  <c r="H69" i="16"/>
  <c r="M29" i="16" l="1"/>
  <c r="M30" i="16" s="1"/>
  <c r="I69" i="16"/>
  <c r="N29" i="16" l="1"/>
  <c r="N30" i="16" s="1"/>
  <c r="J69" i="16"/>
  <c r="O29" i="16" l="1"/>
  <c r="K69" i="16"/>
  <c r="L69" i="16"/>
  <c r="O30" i="16" l="1"/>
  <c r="P29" i="16"/>
  <c r="P30" i="16" s="1"/>
  <c r="M69" i="16"/>
  <c r="Q29" i="16" l="1"/>
  <c r="N69" i="16"/>
  <c r="O69" i="16"/>
  <c r="R29" i="16" l="1"/>
  <c r="S29" i="16" s="1"/>
  <c r="S30" i="16" s="1"/>
  <c r="Q30" i="16"/>
  <c r="P69" i="16"/>
  <c r="R30" i="16" l="1"/>
  <c r="T29" i="16"/>
  <c r="Q69" i="16"/>
  <c r="T30" i="16" l="1"/>
  <c r="U29" i="16"/>
  <c r="R69" i="16"/>
  <c r="U30" i="16" l="1"/>
  <c r="V29" i="16"/>
  <c r="S69" i="16"/>
  <c r="V30" i="16" l="1"/>
  <c r="W29" i="16"/>
  <c r="T69" i="16"/>
  <c r="X29" i="16" l="1"/>
  <c r="X30" i="16" s="1"/>
  <c r="W30" i="16"/>
  <c r="E56" i="16"/>
  <c r="E57" i="16"/>
  <c r="E43" i="16"/>
  <c r="U69" i="16"/>
  <c r="E47" i="16" l="1"/>
  <c r="E65" i="16" s="1"/>
  <c r="E46" i="16"/>
  <c r="E64" i="16" s="1"/>
  <c r="V69" i="16"/>
  <c r="E44" i="16"/>
  <c r="E53" i="16" s="1"/>
  <c r="E52" i="16"/>
  <c r="E49" i="16" l="1"/>
  <c r="E51" i="16" s="1"/>
  <c r="W69" i="16"/>
  <c r="E45" i="16"/>
  <c r="E54" i="16" s="1"/>
  <c r="X69" i="16" l="1"/>
  <c r="F28" i="13" l="1"/>
  <c r="G28" i="13" l="1"/>
  <c r="F29" i="13"/>
  <c r="H28" i="13"/>
  <c r="I28" i="13" s="1"/>
  <c r="J28" i="13" s="1"/>
  <c r="K28" i="13" s="1"/>
  <c r="L28" i="13" s="1"/>
  <c r="M28" i="13" s="1"/>
  <c r="N28" i="13" s="1"/>
  <c r="O28" i="13" s="1"/>
  <c r="P28" i="13" s="1"/>
  <c r="Q28" i="13" s="1"/>
  <c r="R28" i="13" s="1"/>
  <c r="S28" i="13" s="1"/>
  <c r="T28" i="13" s="1"/>
  <c r="U28" i="13" s="1"/>
  <c r="V28" i="13" s="1"/>
  <c r="W28" i="13" s="1"/>
  <c r="X28" i="13" s="1"/>
  <c r="F39" i="16" l="1"/>
  <c r="F40" i="16" s="1"/>
  <c r="F42" i="16" s="1"/>
  <c r="F30" i="13"/>
  <c r="G29" i="13"/>
  <c r="F69" i="13"/>
  <c r="G27" i="13"/>
  <c r="H27" i="13" s="1"/>
  <c r="F60" i="16" l="1"/>
  <c r="F61" i="16" s="1"/>
  <c r="G39" i="16"/>
  <c r="G40" i="16" s="1"/>
  <c r="G42" i="16" s="1"/>
  <c r="G69" i="13"/>
  <c r="H29" i="13"/>
  <c r="I29" i="13" s="1"/>
  <c r="G30" i="13"/>
  <c r="H69" i="13"/>
  <c r="E58" i="16"/>
  <c r="G61" i="16" l="1"/>
  <c r="G60" i="16"/>
  <c r="F63" i="16"/>
  <c r="F62" i="16"/>
  <c r="G43" i="16"/>
  <c r="G48" i="16" s="1"/>
  <c r="I30" i="13"/>
  <c r="I69" i="13"/>
  <c r="G40" i="13"/>
  <c r="H30" i="13"/>
  <c r="J29" i="13"/>
  <c r="J69" i="13" s="1"/>
  <c r="F43" i="16"/>
  <c r="F46" i="16" s="1"/>
  <c r="F57" i="16"/>
  <c r="F56" i="16"/>
  <c r="G56" i="16" s="1"/>
  <c r="G57" i="16" s="1"/>
  <c r="G46" i="16" l="1"/>
  <c r="F64" i="16"/>
  <c r="G44" i="16"/>
  <c r="G45" i="16" s="1"/>
  <c r="G47" i="16"/>
  <c r="G63" i="16"/>
  <c r="G62" i="16"/>
  <c r="G64" i="16" s="1"/>
  <c r="G49" i="16"/>
  <c r="G60" i="13"/>
  <c r="G61" i="13" s="1"/>
  <c r="K29" i="13"/>
  <c r="J30" i="13"/>
  <c r="F52" i="16"/>
  <c r="G52" i="16" s="1"/>
  <c r="F47" i="16"/>
  <c r="F65" i="16" s="1"/>
  <c r="F44" i="16"/>
  <c r="F45" i="16" s="1"/>
  <c r="F54" i="16" s="1"/>
  <c r="G65" i="16" l="1"/>
  <c r="G62" i="13"/>
  <c r="G63" i="13"/>
  <c r="L29" i="13"/>
  <c r="K30" i="13"/>
  <c r="M29" i="13"/>
  <c r="M30" i="13" s="1"/>
  <c r="K69" i="13"/>
  <c r="L69" i="13"/>
  <c r="N29" i="13"/>
  <c r="F53" i="16"/>
  <c r="G53" i="16" s="1"/>
  <c r="G54" i="16"/>
  <c r="N30" i="13" l="1"/>
  <c r="N69" i="13"/>
  <c r="L30" i="13"/>
  <c r="O29" i="13"/>
  <c r="M69" i="13"/>
  <c r="E48" i="16"/>
  <c r="E50" i="16" s="1"/>
  <c r="E20" i="13"/>
  <c r="P29" i="13" l="1"/>
  <c r="O30" i="13"/>
  <c r="O69" i="13"/>
  <c r="F49" i="16"/>
  <c r="F51" i="16" s="1"/>
  <c r="F48" i="16"/>
  <c r="G51" i="16"/>
  <c r="F20" i="13"/>
  <c r="G20" i="13" s="1"/>
  <c r="H20" i="13" s="1"/>
  <c r="I20" i="13" s="1"/>
  <c r="J20" i="13" s="1"/>
  <c r="K20" i="13" s="1"/>
  <c r="L20" i="13" s="1"/>
  <c r="M20" i="13" s="1"/>
  <c r="N20" i="13" s="1"/>
  <c r="O20" i="13" s="1"/>
  <c r="P20" i="13" s="1"/>
  <c r="Q20" i="13" s="1"/>
  <c r="R20" i="13" s="1"/>
  <c r="S20" i="13" s="1"/>
  <c r="T20" i="13" s="1"/>
  <c r="U20" i="13" s="1"/>
  <c r="V20" i="13" s="1"/>
  <c r="W20" i="13" s="1"/>
  <c r="X20" i="13" s="1"/>
  <c r="Q29" i="13" l="1"/>
  <c r="P30" i="13"/>
  <c r="P69" i="13"/>
  <c r="F50" i="16"/>
  <c r="G50" i="16"/>
  <c r="F58" i="16"/>
  <c r="E40" i="13"/>
  <c r="E42" i="13" s="1"/>
  <c r="H39" i="16" l="1"/>
  <c r="H40" i="16" s="1"/>
  <c r="H42" i="16" s="1"/>
  <c r="R29" i="13"/>
  <c r="Q30" i="13"/>
  <c r="Q69" i="13"/>
  <c r="G58" i="16"/>
  <c r="F40" i="13"/>
  <c r="F60" i="13" s="1"/>
  <c r="H60" i="16" l="1"/>
  <c r="H61" i="16" s="1"/>
  <c r="H43" i="16"/>
  <c r="H52" i="16" s="1"/>
  <c r="H57" i="16"/>
  <c r="H58" i="16" s="1"/>
  <c r="H56" i="16"/>
  <c r="I39" i="16"/>
  <c r="I40" i="16" s="1"/>
  <c r="I42" i="16" s="1"/>
  <c r="F61" i="13"/>
  <c r="F62" i="13"/>
  <c r="F63" i="13"/>
  <c r="E57" i="13"/>
  <c r="E58" i="13" s="1"/>
  <c r="E60" i="13"/>
  <c r="E43" i="13"/>
  <c r="E56" i="13"/>
  <c r="F56" i="13" s="1"/>
  <c r="S29" i="13"/>
  <c r="R30" i="13"/>
  <c r="R69" i="13"/>
  <c r="F57" i="13"/>
  <c r="H40" i="13"/>
  <c r="I27" i="13"/>
  <c r="H44" i="16" l="1"/>
  <c r="H45" i="16" s="1"/>
  <c r="H54" i="16" s="1"/>
  <c r="H47" i="16"/>
  <c r="H46" i="16"/>
  <c r="I60" i="16"/>
  <c r="I61" i="16" s="1"/>
  <c r="H63" i="16"/>
  <c r="H62" i="16"/>
  <c r="I57" i="16"/>
  <c r="I58" i="16" s="1"/>
  <c r="I43" i="16"/>
  <c r="I44" i="16" s="1"/>
  <c r="I45" i="16" s="1"/>
  <c r="I56" i="16"/>
  <c r="J39" i="16"/>
  <c r="J40" i="16" s="1"/>
  <c r="J42" i="16" s="1"/>
  <c r="E63" i="13"/>
  <c r="E62" i="13"/>
  <c r="F58" i="13"/>
  <c r="H60" i="13"/>
  <c r="H61" i="13" s="1"/>
  <c r="F43" i="13"/>
  <c r="F46" i="13" s="1"/>
  <c r="F64" i="13" s="1"/>
  <c r="E46" i="13"/>
  <c r="E47" i="13"/>
  <c r="E44" i="13"/>
  <c r="E53" i="13" s="1"/>
  <c r="E61" i="13"/>
  <c r="E52" i="13"/>
  <c r="T29" i="13"/>
  <c r="S30" i="13"/>
  <c r="S69" i="13"/>
  <c r="J27" i="13"/>
  <c r="G56" i="13"/>
  <c r="G43" i="13"/>
  <c r="J40" i="13"/>
  <c r="I40" i="13"/>
  <c r="I60" i="13" s="1"/>
  <c r="H53" i="16" l="1"/>
  <c r="H48" i="16"/>
  <c r="H50" i="16" s="1"/>
  <c r="H49" i="16"/>
  <c r="H51" i="16" s="1"/>
  <c r="I46" i="16"/>
  <c r="I48" i="16" s="1"/>
  <c r="I50" i="16" s="1"/>
  <c r="H65" i="16"/>
  <c r="H64" i="16"/>
  <c r="J60" i="16"/>
  <c r="J61" i="16" s="1"/>
  <c r="I47" i="16"/>
  <c r="I49" i="16" s="1"/>
  <c r="I51" i="16" s="1"/>
  <c r="I62" i="16"/>
  <c r="I63" i="16"/>
  <c r="I52" i="16"/>
  <c r="J43" i="16"/>
  <c r="J47" i="16" s="1"/>
  <c r="J57" i="16"/>
  <c r="J58" i="16" s="1"/>
  <c r="J56" i="16"/>
  <c r="K39" i="16"/>
  <c r="K40" i="16" s="1"/>
  <c r="K42" i="16" s="1"/>
  <c r="F47" i="13"/>
  <c r="F65" i="13" s="1"/>
  <c r="F52" i="13"/>
  <c r="G52" i="13" s="1"/>
  <c r="E65" i="13"/>
  <c r="F44" i="13"/>
  <c r="F45" i="13" s="1"/>
  <c r="E48" i="13"/>
  <c r="E50" i="13" s="1"/>
  <c r="E64" i="13"/>
  <c r="E49" i="13"/>
  <c r="E51" i="13" s="1"/>
  <c r="E45" i="13"/>
  <c r="E54" i="13" s="1"/>
  <c r="I61" i="13"/>
  <c r="I62" i="13"/>
  <c r="I63" i="13"/>
  <c r="H62" i="13"/>
  <c r="H63" i="13"/>
  <c r="I54" i="16"/>
  <c r="I53" i="16"/>
  <c r="K27" i="13"/>
  <c r="U29" i="13"/>
  <c r="T30" i="13"/>
  <c r="T69" i="13"/>
  <c r="H43" i="13"/>
  <c r="H44" i="13" s="1"/>
  <c r="H45" i="13" s="1"/>
  <c r="G57" i="13"/>
  <c r="G58" i="13" s="1"/>
  <c r="G46" i="13"/>
  <c r="G64" i="13" s="1"/>
  <c r="G44" i="13"/>
  <c r="G45" i="13" s="1"/>
  <c r="G47" i="13"/>
  <c r="G65" i="13" s="1"/>
  <c r="H56" i="13"/>
  <c r="H57" i="13" s="1"/>
  <c r="F48" i="13"/>
  <c r="F50" i="13" s="1"/>
  <c r="K40" i="13"/>
  <c r="I64" i="16" l="1"/>
  <c r="I65" i="16"/>
  <c r="J52" i="16"/>
  <c r="J46" i="16"/>
  <c r="J44" i="16"/>
  <c r="J45" i="16" s="1"/>
  <c r="J54" i="16" s="1"/>
  <c r="K60" i="16"/>
  <c r="K61" i="16" s="1"/>
  <c r="J62" i="16"/>
  <c r="J63" i="16"/>
  <c r="J65" i="16" s="1"/>
  <c r="K43" i="16"/>
  <c r="K47" i="16" s="1"/>
  <c r="K57" i="16"/>
  <c r="K58" i="16" s="1"/>
  <c r="K56" i="16"/>
  <c r="L39" i="16"/>
  <c r="L40" i="16" s="1"/>
  <c r="L42" i="16" s="1"/>
  <c r="F49" i="13"/>
  <c r="F51" i="13"/>
  <c r="F53" i="13"/>
  <c r="G53" i="13" s="1"/>
  <c r="H53" i="13" s="1"/>
  <c r="F54" i="13"/>
  <c r="G54" i="13" s="1"/>
  <c r="H54" i="13" s="1"/>
  <c r="J60" i="13"/>
  <c r="J61" i="13" s="1"/>
  <c r="L27" i="13"/>
  <c r="K60" i="13"/>
  <c r="V29" i="13"/>
  <c r="U30" i="13"/>
  <c r="U69" i="13"/>
  <c r="G49" i="13"/>
  <c r="G51" i="13" s="1"/>
  <c r="H58" i="13"/>
  <c r="H46" i="13"/>
  <c r="H47" i="13"/>
  <c r="H52" i="13"/>
  <c r="G48" i="13"/>
  <c r="G50" i="13" s="1"/>
  <c r="I56" i="13"/>
  <c r="I57" i="13" s="1"/>
  <c r="I43" i="13"/>
  <c r="L40" i="13"/>
  <c r="J48" i="16" l="1"/>
  <c r="J50" i="16" s="1"/>
  <c r="J53" i="16"/>
  <c r="J49" i="16"/>
  <c r="J51" i="16" s="1"/>
  <c r="K52" i="16"/>
  <c r="K46" i="16"/>
  <c r="K44" i="16"/>
  <c r="K45" i="16" s="1"/>
  <c r="K54" i="16" s="1"/>
  <c r="J64" i="16"/>
  <c r="L60" i="16"/>
  <c r="L61" i="16" s="1"/>
  <c r="K62" i="16"/>
  <c r="K63" i="16"/>
  <c r="K65" i="16" s="1"/>
  <c r="L57" i="16"/>
  <c r="L58" i="16" s="1"/>
  <c r="L56" i="16"/>
  <c r="L43" i="16"/>
  <c r="L47" i="16" s="1"/>
  <c r="M39" i="16"/>
  <c r="M40" i="16" s="1"/>
  <c r="M42" i="16" s="1"/>
  <c r="I58" i="13"/>
  <c r="H49" i="13"/>
  <c r="H51" i="13" s="1"/>
  <c r="H65" i="13"/>
  <c r="H48" i="13"/>
  <c r="H50" i="13" s="1"/>
  <c r="H64" i="13"/>
  <c r="K61" i="13"/>
  <c r="K63" i="13"/>
  <c r="K62" i="13"/>
  <c r="J62" i="13"/>
  <c r="J63" i="13"/>
  <c r="W29" i="13"/>
  <c r="V30" i="13"/>
  <c r="V69" i="13"/>
  <c r="M27" i="13"/>
  <c r="I52" i="13"/>
  <c r="J43" i="13"/>
  <c r="J56" i="13"/>
  <c r="I47" i="13"/>
  <c r="I65" i="13" s="1"/>
  <c r="I46" i="13"/>
  <c r="I64" i="13" s="1"/>
  <c r="I44" i="13"/>
  <c r="M40" i="13"/>
  <c r="K48" i="16" l="1"/>
  <c r="K50" i="16" s="1"/>
  <c r="K64" i="16"/>
  <c r="K53" i="16"/>
  <c r="K49" i="16"/>
  <c r="K51" i="16" s="1"/>
  <c r="M60" i="16"/>
  <c r="M61" i="16" s="1"/>
  <c r="L62" i="16"/>
  <c r="L63" i="16"/>
  <c r="L65" i="16" s="1"/>
  <c r="L52" i="16"/>
  <c r="M43" i="16"/>
  <c r="M44" i="16" s="1"/>
  <c r="M45" i="16" s="1"/>
  <c r="M56" i="16"/>
  <c r="M57" i="16"/>
  <c r="M58" i="16" s="1"/>
  <c r="L46" i="16"/>
  <c r="L44" i="16"/>
  <c r="L45" i="16" s="1"/>
  <c r="L54" i="16" s="1"/>
  <c r="N39" i="16"/>
  <c r="N40" i="16" s="1"/>
  <c r="N42" i="16" s="1"/>
  <c r="L57" i="13"/>
  <c r="L60" i="13"/>
  <c r="J52" i="13"/>
  <c r="X29" i="13"/>
  <c r="W30" i="13"/>
  <c r="W69" i="13"/>
  <c r="N27" i="13"/>
  <c r="K43" i="13"/>
  <c r="K44" i="13" s="1"/>
  <c r="K45" i="13" s="1"/>
  <c r="J57" i="13"/>
  <c r="J58" i="13" s="1"/>
  <c r="I49" i="13"/>
  <c r="I51" i="13" s="1"/>
  <c r="K56" i="13"/>
  <c r="I45" i="13"/>
  <c r="I54" i="13" s="1"/>
  <c r="I53" i="13"/>
  <c r="I48" i="13"/>
  <c r="I50" i="13" s="1"/>
  <c r="J44" i="13"/>
  <c r="J45" i="13" s="1"/>
  <c r="J47" i="13"/>
  <c r="J65" i="13" s="1"/>
  <c r="J46" i="13"/>
  <c r="J64" i="13" s="1"/>
  <c r="O40" i="13"/>
  <c r="N40" i="13"/>
  <c r="L53" i="16" l="1"/>
  <c r="M53" i="16" s="1"/>
  <c r="L48" i="16"/>
  <c r="L50" i="16" s="1"/>
  <c r="M47" i="16"/>
  <c r="M49" i="16" s="1"/>
  <c r="M51" i="16" s="1"/>
  <c r="M52" i="16"/>
  <c r="M46" i="16"/>
  <c r="M48" i="16" s="1"/>
  <c r="N43" i="16"/>
  <c r="N60" i="16"/>
  <c r="N61" i="16" s="1"/>
  <c r="L64" i="16"/>
  <c r="M63" i="16"/>
  <c r="M62" i="16"/>
  <c r="L49" i="16"/>
  <c r="L51" i="16" s="1"/>
  <c r="N56" i="16"/>
  <c r="M54" i="16"/>
  <c r="O39" i="16"/>
  <c r="O40" i="16" s="1"/>
  <c r="O42" i="16" s="1"/>
  <c r="N57" i="16"/>
  <c r="N58" i="16" s="1"/>
  <c r="L63" i="13"/>
  <c r="L62" i="13"/>
  <c r="M60" i="13"/>
  <c r="L61" i="13"/>
  <c r="O27" i="13"/>
  <c r="X30" i="13"/>
  <c r="X69" i="13"/>
  <c r="J49" i="13"/>
  <c r="J51" i="13" s="1"/>
  <c r="K47" i="13"/>
  <c r="K46" i="13"/>
  <c r="K52" i="13"/>
  <c r="L43" i="13"/>
  <c r="L44" i="13" s="1"/>
  <c r="L45" i="13" s="1"/>
  <c r="K57" i="13"/>
  <c r="K58" i="13" s="1"/>
  <c r="L58" i="13" s="1"/>
  <c r="J54" i="13"/>
  <c r="K54" i="13" s="1"/>
  <c r="L56" i="13"/>
  <c r="M56" i="13" s="1"/>
  <c r="J48" i="13"/>
  <c r="J50" i="13" s="1"/>
  <c r="J53" i="13"/>
  <c r="K53" i="13" s="1"/>
  <c r="P40" i="13"/>
  <c r="N52" i="16" l="1"/>
  <c r="N44" i="16"/>
  <c r="N45" i="16" s="1"/>
  <c r="N54" i="16" s="1"/>
  <c r="N47" i="16"/>
  <c r="M65" i="16"/>
  <c r="N46" i="16"/>
  <c r="M64" i="16"/>
  <c r="M50" i="16"/>
  <c r="O60" i="16"/>
  <c r="N63" i="16"/>
  <c r="N62" i="16"/>
  <c r="O56" i="16"/>
  <c r="O43" i="16"/>
  <c r="O46" i="16" s="1"/>
  <c r="O57" i="16"/>
  <c r="O58" i="16" s="1"/>
  <c r="P39" i="16"/>
  <c r="P40" i="16" s="1"/>
  <c r="P42" i="16" s="1"/>
  <c r="K48" i="13"/>
  <c r="K50" i="13" s="1"/>
  <c r="K64" i="13"/>
  <c r="K49" i="13"/>
  <c r="K51" i="13" s="1"/>
  <c r="K65" i="13"/>
  <c r="N60" i="13"/>
  <c r="N61" i="13" s="1"/>
  <c r="M63" i="13"/>
  <c r="M62" i="13"/>
  <c r="M61" i="13"/>
  <c r="N53" i="16"/>
  <c r="P27" i="13"/>
  <c r="L52" i="13"/>
  <c r="L46" i="13"/>
  <c r="L54" i="13"/>
  <c r="N43" i="13"/>
  <c r="N47" i="13" s="1"/>
  <c r="M57" i="13"/>
  <c r="M58" i="13" s="1"/>
  <c r="L47" i="13"/>
  <c r="N56" i="13"/>
  <c r="M43" i="13"/>
  <c r="M44" i="13" s="1"/>
  <c r="L53" i="13"/>
  <c r="N49" i="16" l="1"/>
  <c r="N51" i="16" s="1"/>
  <c r="N65" i="16"/>
  <c r="N48" i="16"/>
  <c r="N50" i="16" s="1"/>
  <c r="N64" i="16"/>
  <c r="O52" i="16"/>
  <c r="O44" i="16"/>
  <c r="O45" i="16" s="1"/>
  <c r="O54" i="16" s="1"/>
  <c r="O47" i="16"/>
  <c r="O49" i="16" s="1"/>
  <c r="O51" i="16" s="1"/>
  <c r="O63" i="16"/>
  <c r="O62" i="16"/>
  <c r="O64" i="16" s="1"/>
  <c r="O61" i="16"/>
  <c r="P60" i="16"/>
  <c r="P61" i="16" s="1"/>
  <c r="P57" i="16"/>
  <c r="P58" i="16" s="1"/>
  <c r="P56" i="16"/>
  <c r="P43" i="16"/>
  <c r="P44" i="16" s="1"/>
  <c r="P45" i="16" s="1"/>
  <c r="Q39" i="16"/>
  <c r="Q40" i="16" s="1"/>
  <c r="Q42" i="16" s="1"/>
  <c r="O53" i="16"/>
  <c r="L48" i="13"/>
  <c r="L50" i="13" s="1"/>
  <c r="L64" i="13"/>
  <c r="L49" i="13"/>
  <c r="L51" i="13" s="1"/>
  <c r="L65" i="13"/>
  <c r="O57" i="13"/>
  <c r="O60" i="13"/>
  <c r="O61" i="13"/>
  <c r="N62" i="13"/>
  <c r="N63" i="13"/>
  <c r="N65" i="13" s="1"/>
  <c r="Q27" i="13"/>
  <c r="M53" i="13"/>
  <c r="N44" i="13"/>
  <c r="N45" i="13" s="1"/>
  <c r="N46" i="13"/>
  <c r="M47" i="13"/>
  <c r="M46" i="13"/>
  <c r="M52" i="13"/>
  <c r="N52" i="13" s="1"/>
  <c r="O56" i="13"/>
  <c r="N57" i="13"/>
  <c r="N58" i="13" s="1"/>
  <c r="M45" i="13"/>
  <c r="M54" i="13" s="1"/>
  <c r="O43" i="13"/>
  <c r="O47" i="13" s="1"/>
  <c r="Q40" i="13"/>
  <c r="P54" i="16" l="1"/>
  <c r="P52" i="16"/>
  <c r="O48" i="16"/>
  <c r="O50" i="16" s="1"/>
  <c r="P46" i="16"/>
  <c r="P48" i="16" s="1"/>
  <c r="P50" i="16" s="1"/>
  <c r="P47" i="16"/>
  <c r="P49" i="16" s="1"/>
  <c r="P51" i="16" s="1"/>
  <c r="P63" i="16"/>
  <c r="P62" i="16"/>
  <c r="Q61" i="16"/>
  <c r="Q60" i="16"/>
  <c r="O65" i="16"/>
  <c r="Q56" i="16"/>
  <c r="Q57" i="16" s="1"/>
  <c r="Q58" i="16" s="1"/>
  <c r="Q43" i="16"/>
  <c r="Q49" i="16" s="1"/>
  <c r="R39" i="16"/>
  <c r="R40" i="16" s="1"/>
  <c r="R42" i="16" s="1"/>
  <c r="M48" i="13"/>
  <c r="M50" i="13" s="1"/>
  <c r="M64" i="13"/>
  <c r="M49" i="13"/>
  <c r="M51" i="13" s="1"/>
  <c r="M65" i="13"/>
  <c r="N64" i="13"/>
  <c r="O58" i="13"/>
  <c r="P60" i="13"/>
  <c r="P61" i="13" s="1"/>
  <c r="O62" i="13"/>
  <c r="O63" i="13"/>
  <c r="O65" i="13" s="1"/>
  <c r="P53" i="16"/>
  <c r="N48" i="13"/>
  <c r="N50" i="13" s="1"/>
  <c r="P56" i="13"/>
  <c r="P57" i="13" s="1"/>
  <c r="P58" i="13" s="1"/>
  <c r="N49" i="13"/>
  <c r="N51" i="13" s="1"/>
  <c r="N53" i="13"/>
  <c r="R27" i="13"/>
  <c r="Q60" i="13"/>
  <c r="N54" i="13"/>
  <c r="P43" i="13"/>
  <c r="P47" i="13" s="1"/>
  <c r="O44" i="13"/>
  <c r="O45" i="13" s="1"/>
  <c r="O46" i="13"/>
  <c r="O52" i="13"/>
  <c r="R40" i="13"/>
  <c r="Q44" i="16" l="1"/>
  <c r="Q45" i="16" s="1"/>
  <c r="Q54" i="16" s="1"/>
  <c r="Q46" i="16"/>
  <c r="Q62" i="16"/>
  <c r="Q63" i="16"/>
  <c r="R60" i="16"/>
  <c r="P64" i="16"/>
  <c r="P65" i="16"/>
  <c r="Q48" i="16"/>
  <c r="R56" i="16"/>
  <c r="R43" i="16"/>
  <c r="R44" i="16" s="1"/>
  <c r="R45" i="16" s="1"/>
  <c r="R57" i="16"/>
  <c r="R58" i="16" s="1"/>
  <c r="S39" i="16"/>
  <c r="S40" i="16" s="1"/>
  <c r="S42" i="16" s="1"/>
  <c r="Q47" i="16"/>
  <c r="Q51" i="16" s="1"/>
  <c r="Q52" i="16"/>
  <c r="O64" i="13"/>
  <c r="Q61" i="13"/>
  <c r="Q63" i="13"/>
  <c r="Q62" i="13"/>
  <c r="P62" i="13"/>
  <c r="P63" i="13"/>
  <c r="P65" i="13" s="1"/>
  <c r="Q56" i="13"/>
  <c r="Q57" i="13" s="1"/>
  <c r="Q58" i="13" s="1"/>
  <c r="Q43" i="13"/>
  <c r="Q47" i="13" s="1"/>
  <c r="O53" i="13"/>
  <c r="S27" i="13"/>
  <c r="P52" i="13"/>
  <c r="O48" i="13"/>
  <c r="O50" i="13" s="1"/>
  <c r="O54" i="13"/>
  <c r="P44" i="13"/>
  <c r="P45" i="13" s="1"/>
  <c r="P46" i="13"/>
  <c r="O49" i="13"/>
  <c r="O51" i="13" s="1"/>
  <c r="S40" i="13"/>
  <c r="Q53" i="16" l="1"/>
  <c r="R53" i="16" s="1"/>
  <c r="R54" i="16"/>
  <c r="Q65" i="16"/>
  <c r="Q50" i="16"/>
  <c r="S60" i="16"/>
  <c r="S61" i="16" s="1"/>
  <c r="R62" i="16"/>
  <c r="R63" i="16"/>
  <c r="R61" i="16"/>
  <c r="Q64" i="16"/>
  <c r="R47" i="16"/>
  <c r="R49" i="16" s="1"/>
  <c r="R46" i="16"/>
  <c r="R48" i="16" s="1"/>
  <c r="R52" i="16"/>
  <c r="S57" i="16"/>
  <c r="S58" i="16" s="1"/>
  <c r="S43" i="16"/>
  <c r="S47" i="16" s="1"/>
  <c r="S56" i="16"/>
  <c r="T39" i="16"/>
  <c r="T40" i="16" s="1"/>
  <c r="T42" i="16" s="1"/>
  <c r="P64" i="13"/>
  <c r="Q65" i="13"/>
  <c r="Q52" i="13"/>
  <c r="R57" i="13"/>
  <c r="R60" i="13"/>
  <c r="R43" i="13"/>
  <c r="R44" i="13" s="1"/>
  <c r="R58" i="13"/>
  <c r="R56" i="13"/>
  <c r="Q44" i="13"/>
  <c r="Q45" i="13" s="1"/>
  <c r="Q46" i="13"/>
  <c r="Q64" i="13" s="1"/>
  <c r="T27" i="13"/>
  <c r="P48" i="13"/>
  <c r="P50" i="13" s="1"/>
  <c r="P54" i="13"/>
  <c r="P53" i="13"/>
  <c r="P49" i="13"/>
  <c r="P51" i="13" s="1"/>
  <c r="T40" i="13"/>
  <c r="T60" i="13" s="1"/>
  <c r="S44" i="16" l="1"/>
  <c r="S45" i="16" s="1"/>
  <c r="S54" i="16" s="1"/>
  <c r="S46" i="16"/>
  <c r="T60" i="16"/>
  <c r="R51" i="16"/>
  <c r="R64" i="16"/>
  <c r="R65" i="16"/>
  <c r="R50" i="16"/>
  <c r="S52" i="16"/>
  <c r="S62" i="16"/>
  <c r="S63" i="16"/>
  <c r="S65" i="16" s="1"/>
  <c r="T57" i="16"/>
  <c r="T58" i="16" s="1"/>
  <c r="T43" i="16"/>
  <c r="T47" i="16" s="1"/>
  <c r="T56" i="16"/>
  <c r="U39" i="16"/>
  <c r="U40" i="16" s="1"/>
  <c r="U42" i="16" s="1"/>
  <c r="R63" i="13"/>
  <c r="R62" i="13"/>
  <c r="T61" i="13"/>
  <c r="T63" i="13"/>
  <c r="T62" i="13"/>
  <c r="S56" i="13"/>
  <c r="T43" i="13" s="1"/>
  <c r="S60" i="13"/>
  <c r="R46" i="13"/>
  <c r="R61" i="13"/>
  <c r="R47" i="13"/>
  <c r="R49" i="13" s="1"/>
  <c r="Q48" i="13"/>
  <c r="Q50" i="13" s="1"/>
  <c r="R52" i="13"/>
  <c r="S57" i="13"/>
  <c r="S58" i="13" s="1"/>
  <c r="S43" i="13"/>
  <c r="S47" i="13" s="1"/>
  <c r="Q54" i="13"/>
  <c r="Q49" i="13"/>
  <c r="Q51" i="13" s="1"/>
  <c r="Q53" i="13"/>
  <c r="R53" i="13" s="1"/>
  <c r="U27" i="13"/>
  <c r="R45" i="13"/>
  <c r="U40" i="13"/>
  <c r="S53" i="16" l="1"/>
  <c r="S48" i="16"/>
  <c r="S50" i="16" s="1"/>
  <c r="S64" i="16"/>
  <c r="S49" i="16"/>
  <c r="S51" i="16" s="1"/>
  <c r="T46" i="16"/>
  <c r="T44" i="16"/>
  <c r="T45" i="16" s="1"/>
  <c r="T54" i="16" s="1"/>
  <c r="T52" i="16"/>
  <c r="U60" i="16"/>
  <c r="U61" i="16" s="1"/>
  <c r="T62" i="16"/>
  <c r="T63" i="16"/>
  <c r="T65" i="16" s="1"/>
  <c r="T61" i="16"/>
  <c r="U56" i="16"/>
  <c r="U43" i="16"/>
  <c r="V39" i="16"/>
  <c r="V40" i="16" s="1"/>
  <c r="V42" i="16" s="1"/>
  <c r="U57" i="16"/>
  <c r="U58" i="16" s="1"/>
  <c r="R65" i="13"/>
  <c r="R48" i="13"/>
  <c r="R50" i="13" s="1"/>
  <c r="R64" i="13"/>
  <c r="R51" i="13"/>
  <c r="T56" i="13"/>
  <c r="T57" i="13" s="1"/>
  <c r="T58" i="13" s="1"/>
  <c r="S61" i="13"/>
  <c r="S63" i="13"/>
  <c r="S65" i="13" s="1"/>
  <c r="S62" i="13"/>
  <c r="S52" i="13"/>
  <c r="T52" i="13" s="1"/>
  <c r="S44" i="13"/>
  <c r="S53" i="13" s="1"/>
  <c r="S46" i="13"/>
  <c r="R54" i="13"/>
  <c r="V27" i="13"/>
  <c r="T44" i="13"/>
  <c r="T47" i="13"/>
  <c r="T65" i="13" s="1"/>
  <c r="T46" i="13"/>
  <c r="T64" i="13" s="1"/>
  <c r="V40" i="13"/>
  <c r="T48" i="16" l="1"/>
  <c r="T50" i="16" s="1"/>
  <c r="T53" i="16"/>
  <c r="U52" i="16"/>
  <c r="T49" i="16"/>
  <c r="T51" i="16" s="1"/>
  <c r="T64" i="16"/>
  <c r="U46" i="16"/>
  <c r="U47" i="16"/>
  <c r="U44" i="16"/>
  <c r="U45" i="16" s="1"/>
  <c r="U54" i="16" s="1"/>
  <c r="V60" i="16"/>
  <c r="V61" i="16" s="1"/>
  <c r="U63" i="16"/>
  <c r="U62" i="16"/>
  <c r="V56" i="16"/>
  <c r="V57" i="16"/>
  <c r="V58" i="16" s="1"/>
  <c r="V43" i="16"/>
  <c r="V46" i="16" s="1"/>
  <c r="W39" i="16"/>
  <c r="W40" i="16" s="1"/>
  <c r="W42" i="16" s="1"/>
  <c r="U43" i="13"/>
  <c r="S48" i="13"/>
  <c r="S50" i="13" s="1"/>
  <c r="S64" i="13"/>
  <c r="S49" i="13"/>
  <c r="S51" i="13" s="1"/>
  <c r="S45" i="13"/>
  <c r="S54" i="13" s="1"/>
  <c r="U56" i="13"/>
  <c r="U57" i="13" s="1"/>
  <c r="U58" i="13" s="1"/>
  <c r="U60" i="13"/>
  <c r="U61" i="13" s="1"/>
  <c r="W27" i="13"/>
  <c r="T53" i="13"/>
  <c r="U52" i="13"/>
  <c r="T48" i="13"/>
  <c r="T50" i="13" s="1"/>
  <c r="T49" i="13"/>
  <c r="T51" i="13" s="1"/>
  <c r="T45" i="13"/>
  <c r="U44" i="13"/>
  <c r="U47" i="13"/>
  <c r="U46" i="13"/>
  <c r="W40" i="13"/>
  <c r="X40" i="13"/>
  <c r="U49" i="16" l="1"/>
  <c r="U51" i="16" s="1"/>
  <c r="U65" i="16"/>
  <c r="U53" i="16"/>
  <c r="U48" i="16"/>
  <c r="U64" i="16"/>
  <c r="U50" i="16"/>
  <c r="V63" i="16"/>
  <c r="V62" i="16"/>
  <c r="V64" i="16" s="1"/>
  <c r="W61" i="16"/>
  <c r="W60" i="16"/>
  <c r="V52" i="16"/>
  <c r="V47" i="16"/>
  <c r="W56" i="16"/>
  <c r="W57" i="16" s="1"/>
  <c r="W58" i="16" s="1"/>
  <c r="W43" i="16"/>
  <c r="W46" i="16" s="1"/>
  <c r="X39" i="16"/>
  <c r="X40" i="16" s="1"/>
  <c r="X42" i="16" s="1"/>
  <c r="V44" i="16"/>
  <c r="V45" i="16" s="1"/>
  <c r="V54" i="16" s="1"/>
  <c r="T54" i="13"/>
  <c r="V56" i="13"/>
  <c r="V43" i="13"/>
  <c r="V44" i="13" s="1"/>
  <c r="V60" i="13"/>
  <c r="V57" i="13"/>
  <c r="V58" i="13" s="1"/>
  <c r="U62" i="13"/>
  <c r="U64" i="13" s="1"/>
  <c r="U63" i="13"/>
  <c r="U65" i="13" s="1"/>
  <c r="U53" i="13"/>
  <c r="X27" i="13"/>
  <c r="U45" i="13"/>
  <c r="U54" i="13" s="1"/>
  <c r="U48" i="13"/>
  <c r="U50" i="13" s="1"/>
  <c r="U49" i="13"/>
  <c r="U51" i="13" s="1"/>
  <c r="W63" i="16" l="1"/>
  <c r="W62" i="16"/>
  <c r="W64" i="16" s="1"/>
  <c r="X60" i="16"/>
  <c r="X61" i="16" s="1"/>
  <c r="V65" i="16"/>
  <c r="W48" i="16"/>
  <c r="W50" i="16" s="1"/>
  <c r="W44" i="16"/>
  <c r="W45" i="16" s="1"/>
  <c r="W54" i="16" s="1"/>
  <c r="W47" i="16"/>
  <c r="W52" i="16"/>
  <c r="X57" i="16"/>
  <c r="X58" i="16" s="1"/>
  <c r="X56" i="16"/>
  <c r="X43" i="16"/>
  <c r="X44" i="16" s="1"/>
  <c r="X45" i="16" s="1"/>
  <c r="V49" i="16"/>
  <c r="V51" i="16" s="1"/>
  <c r="V48" i="16"/>
  <c r="V50" i="16" s="1"/>
  <c r="W49" i="16"/>
  <c r="V53" i="16"/>
  <c r="V52" i="13"/>
  <c r="V53" i="13"/>
  <c r="W56" i="13"/>
  <c r="X56" i="13" s="1"/>
  <c r="V46" i="13"/>
  <c r="V48" i="13" s="1"/>
  <c r="V47" i="13"/>
  <c r="V49" i="13" s="1"/>
  <c r="W43" i="13"/>
  <c r="W60" i="13"/>
  <c r="W61" i="13" s="1"/>
  <c r="X60" i="13"/>
  <c r="X61" i="13" s="1"/>
  <c r="V62" i="13"/>
  <c r="V63" i="13"/>
  <c r="X57" i="13"/>
  <c r="V61" i="13"/>
  <c r="W57" i="13"/>
  <c r="W58" i="13" s="1"/>
  <c r="V45" i="13"/>
  <c r="V54" i="13" s="1"/>
  <c r="X43" i="13"/>
  <c r="X44" i="13" s="1"/>
  <c r="X45" i="13" s="1"/>
  <c r="W53" i="16" l="1"/>
  <c r="X53" i="16" s="1"/>
  <c r="X54" i="16"/>
  <c r="X63" i="16"/>
  <c r="X62" i="16"/>
  <c r="W65" i="16"/>
  <c r="X52" i="16"/>
  <c r="X47" i="16"/>
  <c r="W51" i="16"/>
  <c r="X46" i="16"/>
  <c r="X48" i="16" s="1"/>
  <c r="X50" i="16" s="1"/>
  <c r="W52" i="13"/>
  <c r="W46" i="13"/>
  <c r="W48" i="13" s="1"/>
  <c r="X58" i="13"/>
  <c r="V50" i="13"/>
  <c r="V64" i="13"/>
  <c r="V65" i="13"/>
  <c r="V51" i="13"/>
  <c r="W47" i="13"/>
  <c r="W49" i="13" s="1"/>
  <c r="W44" i="13"/>
  <c r="W53" i="13" s="1"/>
  <c r="X53" i="13" s="1"/>
  <c r="X62" i="13"/>
  <c r="X63" i="13"/>
  <c r="W62" i="13"/>
  <c r="W63" i="13"/>
  <c r="X47" i="13"/>
  <c r="X52" i="13"/>
  <c r="X46" i="13"/>
  <c r="X64" i="16" l="1"/>
  <c r="X65" i="16"/>
  <c r="X49" i="16"/>
  <c r="X51" i="16" s="1"/>
  <c r="W50" i="13"/>
  <c r="W64" i="13"/>
  <c r="W45" i="13"/>
  <c r="W54" i="13" s="1"/>
  <c r="X54" i="13" s="1"/>
  <c r="W65" i="13"/>
  <c r="W51" i="13"/>
  <c r="X48" i="13"/>
  <c r="X50" i="13" s="1"/>
  <c r="X64" i="13"/>
  <c r="X49" i="13"/>
  <c r="X51" i="13" s="1"/>
  <c r="X6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tc={81A2D5FA-C531-4A13-BBEA-B96E10C78375}</author>
    <author>tc={4F424CA3-E80F-46B8-A686-9F61AE975406}</author>
    <author>tc={E705F8D9-10E6-4F92-834E-5E00552ED7F4}</author>
    <author>tc={C5E2802D-1B72-4F80-888A-F8AD0E05B4FB}</author>
    <author>tc={38D6F090-1BCE-48AF-ABF8-31D24A4A9FB3}</author>
    <author>tc={AB30D19E-76D3-4D1C-81CD-01D2F7526689}</author>
  </authors>
  <commentList>
    <comment ref="O12" authorId="0" shapeId="0" xr:uid="{81A2D5FA-C531-4A13-BBEA-B96E10C78375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inventory data is measured every 10 years, in compliance with the IFM protocol. This calculates new uncertainty stats.</t>
      </text>
    </comment>
    <comment ref="O33" authorId="1" shapeId="0" xr:uid="{4F424CA3-E80F-46B8-A686-9F61AE975406}">
      <text>
        <t>[Threaded comment]
Your version of Excel allows you to read this threaded comment; however, any edits to it will get removed if the file is opened in a newer version of Excel. Learn more: https://go.microsoft.com/fwlink/?linkid=870924
Comment:
    Dead wood is held static in between measurement events</t>
      </text>
    </comment>
    <comment ref="D34" authorId="2" shapeId="0" xr:uid="{E705F8D9-10E6-4F92-834E-5E00552ED7F4}">
      <text>
        <t>[Threaded comment]
Your version of Excel allows you to read this threaded comment; however, any edits to it will get removed if the file is opened in a newer version of Excel. Learn more: https://go.microsoft.com/fwlink/?linkid=870924
Comment:
    No HWPs or GHGs are recorded prior to the Start Date.</t>
      </text>
    </comment>
    <comment ref="E46" authorId="3" shapeId="0" xr:uid="{C5E2802D-1B72-4F80-888A-F8AD0E05B4FB}">
      <text>
        <t>[Threaded comment]
Your version of Excel allows you to read this threaded comment; however, any edits to it will get removed if the file is opened in a newer version of Excel. Learn more: https://go.microsoft.com/fwlink/?linkid=870924
Comment:
    Example A assumes a project Start Date of 9/15/2020. The Start Date can be set in ACR Parameters (cell E17). This function (as written here) only works for annual reporting and verifications.</t>
      </text>
    </comment>
    <comment ref="E56" authorId="4" shapeId="0" xr:uid="{38D6F090-1BCE-48AF-ABF8-31D24A4A9FB3}">
      <text>
        <t>[Threaded comment]
Your version of Excel allows you to read this threaded comment; however, any edits to it will get removed if the file is opened in a newer version of Excel. Learn more: https://go.microsoft.com/fwlink/?linkid=870924
Comment:
    Negative balance is only applicable prior to the first offset credit issuance.</t>
      </text>
    </comment>
    <comment ref="C59" authorId="5" shapeId="0" xr:uid="{AB30D19E-76D3-4D1C-81CD-01D2F7526689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section may optionally be used to distinguish ERTs into removals and emission reductions.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tc={D194ED31-FB9A-4144-B7DD-F52440A08F42}</author>
    <author>tc={44B581ED-3DC6-44AE-8BCF-40CB6ACD4E3F}</author>
    <author>tc={EF5BBC4D-FB0F-42C7-81C1-84B28049C5EE}</author>
    <author>tc={F87A02E5-09A9-4E97-B174-F1C60D491ACA}</author>
    <author>tc={3F5DDFFC-0E8B-4390-8A47-4B45EE394156}</author>
    <author>tc={91BD7F32-5D4C-41F5-9273-AE3043FCB25F}</author>
  </authors>
  <commentList>
    <comment ref="O12" authorId="0" shapeId="0" xr:uid="{D194ED31-FB9A-4144-B7DD-F52440A08F42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inventory data is measured every 10 years, in compliance with the IFM protocol. This calculates new uncertainty stats.</t>
      </text>
    </comment>
    <comment ref="E33" authorId="1" shapeId="0" xr:uid="{44B581ED-3DC6-44AE-8BCF-40CB6ACD4E3F}">
      <text>
        <t>[Threaded comment]
Your version of Excel allows you to read this threaded comment; however, any edits to it will get removed if the file is opened in a newer version of Excel. Learn more: https://go.microsoft.com/fwlink/?linkid=870924
Comment:
    Dead wood is modeled in between measurement events.</t>
      </text>
    </comment>
    <comment ref="D34" authorId="2" shapeId="0" xr:uid="{EF5BBC4D-FB0F-42C7-81C1-84B28049C5EE}">
      <text>
        <t>[Threaded comment]
Your version of Excel allows you to read this threaded comment; however, any edits to it will get removed if the file is opened in a newer version of Excel. Learn more: https://go.microsoft.com/fwlink/?linkid=870924
Comment:
    No HWPs or GHGs are recorded prior to the Start Date.</t>
      </text>
    </comment>
    <comment ref="E46" authorId="3" shapeId="0" xr:uid="{F87A02E5-09A9-4E97-B174-F1C60D491ACA}">
      <text>
        <t>[Threaded comment]
Your version of Excel allows you to read this threaded comment; however, any edits to it will get removed if the file is opened in a newer version of Excel. Learn more: https://go.microsoft.com/fwlink/?linkid=870924
Comment:
    Example B assumes a project Start Date of 6/1/2020. The Start Date can be set in ACR Parameters (cell E17). This function only works for annual reporting and verifications.</t>
      </text>
    </comment>
    <comment ref="E56" authorId="4" shapeId="0" xr:uid="{3F5DDFFC-0E8B-4390-8A47-4B45EE394156}">
      <text>
        <t>[Threaded comment]
Your version of Excel allows you to read this threaded comment; however, any edits to it will get removed if the file is opened in a newer version of Excel. Learn more: https://go.microsoft.com/fwlink/?linkid=870924
Comment:
    Negative balance is only applicable prior to the first offset credit issuance.</t>
      </text>
    </comment>
    <comment ref="C59" authorId="5" shapeId="0" xr:uid="{91BD7F32-5D4C-41F5-9273-AE3043FCB25F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section may optionally be used to distinguish ERTs into removals and emission reductions.</t>
      </text>
    </comment>
  </commentList>
</comments>
</file>

<file path=xl/sharedStrings.xml><?xml version="1.0" encoding="utf-8"?>
<sst xmlns="http://schemas.openxmlformats.org/spreadsheetml/2006/main" count="212" uniqueCount="112">
  <si>
    <t>Title:</t>
  </si>
  <si>
    <r>
      <rPr>
        <sz val="11"/>
        <color theme="1"/>
        <rFont val="Calibri"/>
        <family val="2"/>
        <scheme val="minor"/>
      </rPr>
      <t xml:space="preserve">ERT calculator for </t>
    </r>
    <r>
      <rPr>
        <b/>
        <sz val="11"/>
        <color theme="1"/>
        <rFont val="Calibri"/>
        <family val="2"/>
        <scheme val="minor"/>
      </rPr>
      <t>version 2.0</t>
    </r>
    <r>
      <rPr>
        <sz val="11"/>
        <color theme="1"/>
        <rFont val="Calibri"/>
        <family val="2"/>
        <scheme val="minor"/>
      </rPr>
      <t xml:space="preserve"> of the American Carbon Registry's methodology</t>
    </r>
    <r>
      <rPr>
        <i/>
        <sz val="11"/>
        <color theme="1"/>
        <rFont val="Calibri"/>
        <family val="2"/>
        <scheme val="minor"/>
      </rPr>
      <t xml:space="preserve"> Improved Forest Management Methodology for Quantifying GHG Removals and Emission Reductions through Increased Forest Carbon Sequestration on Non-Federal U.S. Forestlands</t>
    </r>
  </si>
  <si>
    <t>Version:</t>
  </si>
  <si>
    <t>Date:</t>
  </si>
  <si>
    <t>Based on "addendum-1-spreadsheets-ert-calculations-in-two-scenarios", prepared by L&amp;C Carbon.</t>
  </si>
  <si>
    <r>
      <t xml:space="preserve">This is an example project utilizing ACR's </t>
    </r>
    <r>
      <rPr>
        <i/>
        <sz val="11"/>
        <color theme="1"/>
        <rFont val="Calibri"/>
        <family val="2"/>
        <scheme val="minor"/>
      </rPr>
      <t>Improved Forest Management Methodology for Quantifying GHG Removals and Emission Reductions through Increased Forest Carbon Sequestration on Non-Federal U.S. Forestlands</t>
    </r>
    <r>
      <rPr>
        <sz val="11"/>
        <color theme="1"/>
        <rFont val="Calibri"/>
        <family val="2"/>
        <scheme val="minor"/>
      </rPr>
      <t xml:space="preserve"> methodology over one crediting period.</t>
    </r>
  </si>
  <si>
    <r>
      <t xml:space="preserve">It assumes annual reporting and verifications, as required for </t>
    </r>
    <r>
      <rPr>
        <i/>
        <sz val="11"/>
        <color theme="1"/>
        <rFont val="Calibri"/>
        <family val="2"/>
        <scheme val="minor"/>
      </rPr>
      <t>ex ante</t>
    </r>
    <r>
      <rPr>
        <sz val="11"/>
        <color theme="1"/>
        <rFont val="Calibri"/>
        <family val="2"/>
        <scheme val="minor"/>
      </rPr>
      <t xml:space="preserve"> projections. If reporting and verifications occur less frequently, please remove columns as necessary to reflect actual Reporting Period length and prorate annual average baseline HWPs as necessary.</t>
    </r>
  </si>
  <si>
    <t>Its inventory stocks are based on a hypothetical 100-acre forest and FVS-produced carbon yields.</t>
  </si>
  <si>
    <t xml:space="preserve">Baseline Scenario: Stands older than the financially optimal rotation age are immediately harvested, and then stands are harvested once they reach the financially optimal rotation age. </t>
  </si>
  <si>
    <t>Project Scenario: No harvesting planned for the project scenario.</t>
  </si>
  <si>
    <t>Example A: Improved Forest Management project in a hypothetical 100-acre forest over one crediting period</t>
  </si>
  <si>
    <t>The Baseline scenario harvests stands once they reach the financially optimal rotation age.</t>
  </si>
  <si>
    <t>The Project scenario does not harvest.</t>
  </si>
  <si>
    <t>ACR Parameters</t>
  </si>
  <si>
    <t>ACR Parameters, Inventory at Year 10</t>
  </si>
  <si>
    <r>
      <t>e</t>
    </r>
    <r>
      <rPr>
        <vertAlign val="subscript"/>
        <sz val="11"/>
        <color theme="1"/>
        <rFont val="Calibri"/>
        <family val="2"/>
        <scheme val="minor"/>
      </rPr>
      <t>BSL,TREE</t>
    </r>
    <r>
      <rPr>
        <sz val="11"/>
        <color theme="1"/>
        <rFont val="Calibri"/>
        <family val="2"/>
        <scheme val="minor"/>
      </rPr>
      <t>/e</t>
    </r>
    <r>
      <rPr>
        <vertAlign val="subscript"/>
        <sz val="11"/>
        <color theme="1"/>
        <rFont val="Calibri"/>
        <family val="2"/>
        <scheme val="minor"/>
      </rPr>
      <t>P,TREE,1</t>
    </r>
  </si>
  <si>
    <r>
      <t>Uncertainty Live Tree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initial inventory</t>
    </r>
  </si>
  <si>
    <r>
      <t>e</t>
    </r>
    <r>
      <rPr>
        <vertAlign val="subscript"/>
        <sz val="11"/>
        <color theme="1"/>
        <rFont val="Calibri"/>
        <family val="2"/>
        <scheme val="minor"/>
      </rPr>
      <t>P,TREE,10</t>
    </r>
  </si>
  <si>
    <r>
      <t>Uncertainty Live Tree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year 10</t>
    </r>
  </si>
  <si>
    <r>
      <t>e</t>
    </r>
    <r>
      <rPr>
        <vertAlign val="subscript"/>
        <sz val="11"/>
        <color theme="1"/>
        <rFont val="Calibri"/>
        <family val="2"/>
        <scheme val="minor"/>
      </rPr>
      <t>BSL,DEAD</t>
    </r>
    <r>
      <rPr>
        <sz val="11"/>
        <color theme="1"/>
        <rFont val="Calibri"/>
        <family val="2"/>
        <scheme val="minor"/>
      </rPr>
      <t>/e</t>
    </r>
    <r>
      <rPr>
        <vertAlign val="subscript"/>
        <sz val="11"/>
        <color theme="1"/>
        <rFont val="Calibri"/>
        <family val="2"/>
        <scheme val="minor"/>
      </rPr>
      <t>P,DEAD,1</t>
    </r>
  </si>
  <si>
    <r>
      <t>Uncertainty Dead Wood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initial inventory</t>
    </r>
  </si>
  <si>
    <r>
      <t>e</t>
    </r>
    <r>
      <rPr>
        <vertAlign val="subscript"/>
        <sz val="11"/>
        <color theme="1"/>
        <rFont val="Calibri"/>
        <family val="2"/>
        <scheme val="minor"/>
      </rPr>
      <t>P,DEAD,10</t>
    </r>
  </si>
  <si>
    <r>
      <t>Uncertainty Dead Wood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year 10</t>
    </r>
  </si>
  <si>
    <t>LK</t>
  </si>
  <si>
    <t>Market Leakage</t>
  </si>
  <si>
    <t>BUF</t>
  </si>
  <si>
    <t>Buffer deduction rate</t>
  </si>
  <si>
    <t>Example A Start Date</t>
  </si>
  <si>
    <t>1st crediting period</t>
  </si>
  <si>
    <t>Crediting Period Year</t>
  </si>
  <si>
    <t>Reporting Period</t>
  </si>
  <si>
    <t>Equation</t>
  </si>
  <si>
    <t>Parameter</t>
  </si>
  <si>
    <t>Reporting Date</t>
  </si>
  <si>
    <t>Baseline</t>
  </si>
  <si>
    <r>
      <t>C</t>
    </r>
    <r>
      <rPr>
        <i/>
        <vertAlign val="subscript"/>
        <sz val="11"/>
        <color theme="1"/>
        <rFont val="Calibri"/>
        <family val="2"/>
        <scheme val="minor"/>
      </rPr>
      <t>BSL,TREE,t</t>
    </r>
  </si>
  <si>
    <r>
      <t>Live Tree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Baseline</t>
    </r>
  </si>
  <si>
    <r>
      <t>C</t>
    </r>
    <r>
      <rPr>
        <i/>
        <vertAlign val="subscript"/>
        <sz val="11"/>
        <color theme="1"/>
        <rFont val="Calibri"/>
        <family val="2"/>
        <scheme val="minor"/>
      </rPr>
      <t>BSL, DEAD,t</t>
    </r>
  </si>
  <si>
    <r>
      <t>Dead Wood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Baseline</t>
    </r>
  </si>
  <si>
    <r>
      <t>C</t>
    </r>
    <r>
      <rPr>
        <i/>
        <vertAlign val="subscript"/>
        <sz val="11"/>
        <color theme="1"/>
        <rFont val="Calibri"/>
        <family val="2"/>
        <scheme val="minor"/>
      </rPr>
      <t>BSL,HWP,t</t>
    </r>
  </si>
  <si>
    <t>HWP Baseline</t>
  </si>
  <si>
    <r>
      <t>C</t>
    </r>
    <r>
      <rPr>
        <i/>
        <vertAlign val="subscript"/>
        <sz val="11"/>
        <color theme="1"/>
        <rFont val="Calibri"/>
        <family val="2"/>
        <scheme val="minor"/>
      </rPr>
      <t>BSL,HWP</t>
    </r>
  </si>
  <si>
    <t>20yr Avg Baseline HWP</t>
  </si>
  <si>
    <r>
      <t>C</t>
    </r>
    <r>
      <rPr>
        <i/>
        <vertAlign val="subscript"/>
        <sz val="11"/>
        <color theme="1"/>
        <rFont val="Calibri"/>
        <family val="2"/>
        <scheme val="minor"/>
      </rPr>
      <t>BSL,AVE</t>
    </r>
  </si>
  <si>
    <t>20yr Avg Baseline</t>
  </si>
  <si>
    <t>6 &amp; 7</t>
  </si>
  <si>
    <t>T</t>
  </si>
  <si>
    <r>
      <t xml:space="preserve">Year </t>
    </r>
    <r>
      <rPr>
        <i/>
        <sz val="11"/>
        <color theme="1"/>
        <rFont val="Calibri"/>
        <family val="2"/>
        <scheme val="minor"/>
      </rPr>
      <t>T</t>
    </r>
  </si>
  <si>
    <t>8, 9, &amp; 10</t>
  </si>
  <si>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</rPr>
      <t>C</t>
    </r>
    <r>
      <rPr>
        <i/>
        <vertAlign val="subscript"/>
        <sz val="11"/>
        <color theme="1"/>
        <rFont val="Calibri"/>
        <family val="2"/>
      </rPr>
      <t>BSL,t</t>
    </r>
  </si>
  <si>
    <t>ΔC Baseline</t>
  </si>
  <si>
    <t>Project</t>
  </si>
  <si>
    <r>
      <t>C</t>
    </r>
    <r>
      <rPr>
        <i/>
        <vertAlign val="subscript"/>
        <sz val="11"/>
        <color theme="1"/>
        <rFont val="Calibri"/>
        <family val="2"/>
        <scheme val="minor"/>
      </rPr>
      <t>P,TREE,t</t>
    </r>
  </si>
  <si>
    <r>
      <t>Live Tree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Project</t>
    </r>
  </si>
  <si>
    <r>
      <t>C</t>
    </r>
    <r>
      <rPr>
        <i/>
        <vertAlign val="subscript"/>
        <sz val="11"/>
        <color theme="1"/>
        <rFont val="Calibri"/>
        <family val="2"/>
        <scheme val="minor"/>
      </rPr>
      <t>P,DEAD,t</t>
    </r>
  </si>
  <si>
    <r>
      <t>Dead Wood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Project</t>
    </r>
  </si>
  <si>
    <r>
      <t>C</t>
    </r>
    <r>
      <rPr>
        <i/>
        <vertAlign val="subscript"/>
        <sz val="11"/>
        <color theme="1"/>
        <rFont val="Calibri"/>
        <family val="2"/>
        <scheme val="minor"/>
      </rPr>
      <t>P,HWP,t</t>
    </r>
  </si>
  <si>
    <t>HWP Project</t>
  </si>
  <si>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</rPr>
      <t>C</t>
    </r>
    <r>
      <rPr>
        <i/>
        <vertAlign val="subscript"/>
        <sz val="11"/>
        <color theme="1"/>
        <rFont val="Calibri"/>
        <family val="2"/>
      </rPr>
      <t>P,t</t>
    </r>
  </si>
  <si>
    <t>ΔC Project</t>
  </si>
  <si>
    <t>Uncertainty</t>
  </si>
  <si>
    <r>
      <t>UNC</t>
    </r>
    <r>
      <rPr>
        <i/>
        <vertAlign val="subscript"/>
        <sz val="11"/>
        <color theme="1"/>
        <rFont val="Calibri"/>
        <family val="2"/>
      </rPr>
      <t>BSL</t>
    </r>
  </si>
  <si>
    <t>Baseline Stocks Uncertainty</t>
  </si>
  <si>
    <r>
      <t>UNC</t>
    </r>
    <r>
      <rPr>
        <i/>
        <vertAlign val="subscript"/>
        <sz val="11"/>
        <color theme="1"/>
        <rFont val="Calibri"/>
        <family val="2"/>
      </rPr>
      <t>P,t</t>
    </r>
  </si>
  <si>
    <t>Project Stocks Uncertainty</t>
  </si>
  <si>
    <r>
      <t>UNC</t>
    </r>
    <r>
      <rPr>
        <i/>
        <vertAlign val="subscript"/>
        <sz val="11"/>
        <color theme="1"/>
        <rFont val="Calibri"/>
        <family val="2"/>
      </rPr>
      <t>t</t>
    </r>
  </si>
  <si>
    <t>Total Uncertainty</t>
  </si>
  <si>
    <t>Uncertainty Deduction</t>
  </si>
  <si>
    <t>Crediting</t>
  </si>
  <si>
    <r>
      <t>C</t>
    </r>
    <r>
      <rPr>
        <i/>
        <vertAlign val="subscript"/>
        <sz val="11"/>
        <color theme="1"/>
        <rFont val="Calibri"/>
        <family val="2"/>
        <scheme val="minor"/>
      </rPr>
      <t>ACR</t>
    </r>
    <r>
      <rPr>
        <i/>
        <sz val="11"/>
        <color theme="1"/>
        <rFont val="Calibri"/>
        <family val="2"/>
        <scheme val="minor"/>
      </rPr>
      <t>,</t>
    </r>
    <r>
      <rPr>
        <i/>
        <vertAlign val="subscript"/>
        <sz val="11"/>
        <color theme="1"/>
        <rFont val="Calibri"/>
        <family val="2"/>
        <scheme val="minor"/>
      </rPr>
      <t>t</t>
    </r>
  </si>
  <si>
    <r>
      <t xml:space="preserve">Total Reductions/Removals, RP </t>
    </r>
    <r>
      <rPr>
        <i/>
        <sz val="11"/>
        <color theme="1"/>
        <rFont val="Calibri"/>
        <family val="2"/>
        <scheme val="minor"/>
      </rPr>
      <t>t</t>
    </r>
  </si>
  <si>
    <r>
      <t>ERT</t>
    </r>
    <r>
      <rPr>
        <i/>
        <vertAlign val="subscript"/>
        <sz val="11"/>
        <color theme="1"/>
        <rFont val="Calibri"/>
        <family val="2"/>
        <scheme val="minor"/>
      </rPr>
      <t>RP,t</t>
    </r>
  </si>
  <si>
    <r>
      <t xml:space="preserve">Total ERTs, RP </t>
    </r>
    <r>
      <rPr>
        <i/>
        <sz val="11"/>
        <color theme="1"/>
        <rFont val="Calibri"/>
        <family val="2"/>
        <scheme val="minor"/>
      </rPr>
      <t>t</t>
    </r>
  </si>
  <si>
    <r>
      <t>BUF</t>
    </r>
    <r>
      <rPr>
        <i/>
        <vertAlign val="subscript"/>
        <sz val="11"/>
        <color theme="1"/>
        <rFont val="Calibri"/>
        <family val="2"/>
        <scheme val="minor"/>
      </rPr>
      <t>RP,t</t>
    </r>
  </si>
  <si>
    <r>
      <t xml:space="preserve">Buffer Pool Contribution, RP </t>
    </r>
    <r>
      <rPr>
        <i/>
        <sz val="11"/>
        <color theme="1"/>
        <rFont val="Calibri"/>
        <family val="2"/>
        <scheme val="minor"/>
      </rPr>
      <t>t</t>
    </r>
  </si>
  <si>
    <r>
      <t>ERT</t>
    </r>
    <r>
      <rPr>
        <i/>
        <vertAlign val="subscript"/>
        <sz val="11"/>
        <color theme="1"/>
        <rFont val="Calibri"/>
        <family val="2"/>
        <scheme val="minor"/>
      </rPr>
      <t>NETRP,t</t>
    </r>
  </si>
  <si>
    <r>
      <t xml:space="preserve">Net ERTs, RP </t>
    </r>
    <r>
      <rPr>
        <i/>
        <sz val="11"/>
        <color theme="1"/>
        <rFont val="Calibri"/>
        <family val="2"/>
        <scheme val="minor"/>
      </rPr>
      <t>t</t>
    </r>
  </si>
  <si>
    <r>
      <t>ERT</t>
    </r>
    <r>
      <rPr>
        <i/>
        <vertAlign val="subscript"/>
        <sz val="11"/>
        <color theme="1"/>
        <rFont val="Calibri"/>
        <family val="2"/>
        <scheme val="minor"/>
      </rPr>
      <t>VIN,t</t>
    </r>
  </si>
  <si>
    <r>
      <t xml:space="preserve">Total ERTs, Vintage </t>
    </r>
    <r>
      <rPr>
        <i/>
        <sz val="11"/>
        <color theme="1"/>
        <rFont val="Calibri"/>
        <family val="2"/>
        <scheme val="minor"/>
      </rPr>
      <t>y</t>
    </r>
    <r>
      <rPr>
        <i/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, RP </t>
    </r>
    <r>
      <rPr>
        <i/>
        <sz val="11"/>
        <color theme="1"/>
        <rFont val="Calibri"/>
        <family val="2"/>
        <scheme val="minor"/>
      </rPr>
      <t>t</t>
    </r>
  </si>
  <si>
    <r>
      <t xml:space="preserve">Total ERTs, Vintage </t>
    </r>
    <r>
      <rPr>
        <i/>
        <sz val="11"/>
        <color theme="1"/>
        <rFont val="Calibri"/>
        <family val="2"/>
        <scheme val="minor"/>
      </rPr>
      <t>y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, RP </t>
    </r>
    <r>
      <rPr>
        <i/>
        <sz val="11"/>
        <color theme="1"/>
        <rFont val="Calibri"/>
        <family val="2"/>
        <scheme val="minor"/>
      </rPr>
      <t>t</t>
    </r>
  </si>
  <si>
    <r>
      <t>BUF</t>
    </r>
    <r>
      <rPr>
        <i/>
        <vertAlign val="subscript"/>
        <sz val="11"/>
        <color theme="1"/>
        <rFont val="Calibri"/>
        <family val="2"/>
        <scheme val="minor"/>
      </rPr>
      <t>VIN,t</t>
    </r>
  </si>
  <si>
    <r>
      <t xml:space="preserve">Buffer Pool Contribution, Vintage </t>
    </r>
    <r>
      <rPr>
        <i/>
        <sz val="11"/>
        <color theme="1"/>
        <rFont val="Calibri"/>
        <family val="2"/>
        <scheme val="minor"/>
      </rPr>
      <t>y</t>
    </r>
    <r>
      <rPr>
        <i/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, RP </t>
    </r>
    <r>
      <rPr>
        <i/>
        <sz val="11"/>
        <color theme="1"/>
        <rFont val="Calibri"/>
        <family val="2"/>
        <scheme val="minor"/>
      </rPr>
      <t>t</t>
    </r>
  </si>
  <si>
    <r>
      <t xml:space="preserve">Buffer Pool Contribution, Vintage </t>
    </r>
    <r>
      <rPr>
        <i/>
        <sz val="11"/>
        <color theme="1"/>
        <rFont val="Calibri"/>
        <family val="2"/>
        <scheme val="minor"/>
      </rPr>
      <t>y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, RP </t>
    </r>
    <r>
      <rPr>
        <i/>
        <sz val="11"/>
        <color theme="1"/>
        <rFont val="Calibri"/>
        <family val="2"/>
        <scheme val="minor"/>
      </rPr>
      <t>t</t>
    </r>
  </si>
  <si>
    <r>
      <t>ERT</t>
    </r>
    <r>
      <rPr>
        <i/>
        <vertAlign val="subscript"/>
        <sz val="11"/>
        <color theme="1"/>
        <rFont val="Calibri"/>
        <family val="2"/>
        <scheme val="minor"/>
      </rPr>
      <t>NETVIN,t</t>
    </r>
  </si>
  <si>
    <r>
      <t xml:space="preserve">Net ERTs, Vintage </t>
    </r>
    <r>
      <rPr>
        <i/>
        <sz val="11"/>
        <color theme="1"/>
        <rFont val="Calibri"/>
        <family val="2"/>
        <scheme val="minor"/>
      </rPr>
      <t>y</t>
    </r>
    <r>
      <rPr>
        <i/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, RP </t>
    </r>
    <r>
      <rPr>
        <i/>
        <sz val="11"/>
        <color theme="1"/>
        <rFont val="Calibri"/>
        <family val="2"/>
        <scheme val="minor"/>
      </rPr>
      <t>t</t>
    </r>
  </si>
  <si>
    <r>
      <t xml:space="preserve">Net ERTs, Vintage </t>
    </r>
    <r>
      <rPr>
        <i/>
        <sz val="11"/>
        <color theme="1"/>
        <rFont val="Calibri"/>
        <family val="2"/>
        <scheme val="minor"/>
      </rPr>
      <t>y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, RP </t>
    </r>
    <r>
      <rPr>
        <i/>
        <sz val="11"/>
        <color theme="1"/>
        <rFont val="Calibri"/>
        <family val="2"/>
        <scheme val="minor"/>
      </rPr>
      <t>t</t>
    </r>
  </si>
  <si>
    <t>Cumulative Total ERTs Issued</t>
  </si>
  <si>
    <t>Cumulative Buffer Pool Contributions</t>
  </si>
  <si>
    <t>Cumulative Net ERTs Issued</t>
  </si>
  <si>
    <t>Reversals and negative balance</t>
  </si>
  <si>
    <t>Negative balance</t>
  </si>
  <si>
    <r>
      <t xml:space="preserve">Reversals at </t>
    </r>
    <r>
      <rPr>
        <i/>
        <sz val="11"/>
        <color theme="1"/>
        <rFont val="Calibri"/>
        <family val="2"/>
        <scheme val="minor"/>
      </rPr>
      <t>t</t>
    </r>
  </si>
  <si>
    <t>Cumulative Reversals</t>
  </si>
  <si>
    <t>Emission Reductions/Removals (optional)</t>
  </si>
  <si>
    <r>
      <t xml:space="preserve">Total Removals, RP </t>
    </r>
    <r>
      <rPr>
        <i/>
        <sz val="11"/>
        <color theme="1"/>
        <rFont val="Calibri"/>
        <family val="2"/>
        <scheme val="minor"/>
      </rPr>
      <t>t</t>
    </r>
  </si>
  <si>
    <r>
      <t xml:space="preserve">Total Emission Reductions, RP </t>
    </r>
    <r>
      <rPr>
        <i/>
        <sz val="11"/>
        <color theme="1"/>
        <rFont val="Calibri"/>
        <family val="2"/>
        <scheme val="minor"/>
      </rPr>
      <t>t</t>
    </r>
  </si>
  <si>
    <r>
      <t xml:space="preserve">Removals, Vintage </t>
    </r>
    <r>
      <rPr>
        <i/>
        <sz val="11"/>
        <color theme="1"/>
        <rFont val="Calibri"/>
        <family val="2"/>
        <scheme val="minor"/>
      </rPr>
      <t>y</t>
    </r>
    <r>
      <rPr>
        <i/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, RP </t>
    </r>
    <r>
      <rPr>
        <i/>
        <sz val="11"/>
        <color theme="1"/>
        <rFont val="Calibri"/>
        <family val="2"/>
        <scheme val="minor"/>
      </rPr>
      <t>t</t>
    </r>
  </si>
  <si>
    <r>
      <t xml:space="preserve">Removals, Vintage </t>
    </r>
    <r>
      <rPr>
        <i/>
        <sz val="11"/>
        <color theme="1"/>
        <rFont val="Calibri"/>
        <family val="2"/>
        <scheme val="minor"/>
      </rPr>
      <t>y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, RP </t>
    </r>
    <r>
      <rPr>
        <i/>
        <sz val="11"/>
        <color theme="1"/>
        <rFont val="Calibri"/>
        <family val="2"/>
        <scheme val="minor"/>
      </rPr>
      <t>t</t>
    </r>
  </si>
  <si>
    <r>
      <t xml:space="preserve">Emission Reductions, Vintage </t>
    </r>
    <r>
      <rPr>
        <i/>
        <sz val="11"/>
        <color theme="1"/>
        <rFont val="Calibri"/>
        <family val="2"/>
        <scheme val="minor"/>
      </rPr>
      <t>y</t>
    </r>
    <r>
      <rPr>
        <i/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, RP </t>
    </r>
    <r>
      <rPr>
        <i/>
        <sz val="11"/>
        <color theme="1"/>
        <rFont val="Calibri"/>
        <family val="2"/>
        <scheme val="minor"/>
      </rPr>
      <t>t</t>
    </r>
  </si>
  <si>
    <r>
      <t xml:space="preserve">Emission Reductions, Vintage </t>
    </r>
    <r>
      <rPr>
        <i/>
        <sz val="11"/>
        <color theme="1"/>
        <rFont val="Calibri"/>
        <family val="2"/>
        <scheme val="minor"/>
      </rPr>
      <t>y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, RP </t>
    </r>
    <r>
      <rPr>
        <i/>
        <sz val="11"/>
        <color theme="1"/>
        <rFont val="Calibri"/>
        <family val="2"/>
        <scheme val="minor"/>
      </rPr>
      <t>t</t>
    </r>
  </si>
  <si>
    <t>Initial Carbon Stocks (for Graphs)</t>
  </si>
  <si>
    <t>Baseline Stocks (for Graphs)</t>
  </si>
  <si>
    <t>Baseline (for Graphs)</t>
  </si>
  <si>
    <t>Project (for Graphs)</t>
  </si>
  <si>
    <r>
      <t xml:space="preserve">This is another example project utilizing ACR's </t>
    </r>
    <r>
      <rPr>
        <i/>
        <sz val="11"/>
        <color theme="1"/>
        <rFont val="Calibri"/>
        <family val="2"/>
        <scheme val="minor"/>
      </rPr>
      <t>Improved Forest Management Methodology for Quantifying GHG Removals and Emission Reductions through Increased Forest Carbon Sequestration on Non-Federal U.S. Forestlands</t>
    </r>
    <r>
      <rPr>
        <sz val="11"/>
        <color theme="1"/>
        <rFont val="Calibri"/>
        <family val="2"/>
        <scheme val="minor"/>
      </rPr>
      <t xml:space="preserve"> methodology over one crediting period.</t>
    </r>
  </si>
  <si>
    <t>Project Scenario: Light harvesting of some stands at the financially optimal rotation age. In this simple example, project harvesting results in intentional reversals.</t>
  </si>
  <si>
    <t>Example B: Improved Forest Management project in a hypothetical 100-acre forest over one crediting period</t>
  </si>
  <si>
    <t>The Project scenario harvests, but not as heavily as the Baseline.</t>
  </si>
  <si>
    <t>Example B Start Date</t>
  </si>
  <si>
    <t>Example A: No Harvest Project Scenario</t>
  </si>
  <si>
    <t>Example B: Light Harvest Project Scenario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</si>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</sst>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1"/>
      <charset val="2"/>
    </font>
    <font>
      <i/>
      <sz val="11"/>
      <color theme="1"/>
      <name val="Symbol"/>
      <family val="1"/>
      <charset val="2"/>
    </font>
    <font>
      <i/>
      <sz val="11"/>
      <color theme="1"/>
      <name val="Calibri"/>
      <family val="2"/>
    </font>
    <font>
      <i/>
      <vertAlign val="subscript"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6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0" fillId="2" borderId="1" xfId="0" applyFill="1" applyBorder="1"/>
    <xf numFmtId="0" fontId="0" fillId="0" borderId="0" xfId="0" applyAlignment="1">
      <alignment horizontal="center"/>
    </xf>
    <xf numFmtId="164" fontId="0" fillId="3" borderId="0" xfId="0" applyNumberFormat="1" applyFill="1"/>
    <xf numFmtId="0" fontId="4" fillId="0" borderId="0" xfId="0" applyFont="1"/>
    <xf numFmtId="0" fontId="1" fillId="2" borderId="1" xfId="0" applyFont="1" applyFill="1" applyBorder="1"/>
    <xf numFmtId="0" fontId="0" fillId="0" borderId="1" xfId="0" applyBorder="1"/>
    <xf numFmtId="164" fontId="0" fillId="3" borderId="0" xfId="0" applyNumberFormat="1" applyFill="1" applyAlignment="1">
      <alignment horizontal="right"/>
    </xf>
    <xf numFmtId="9" fontId="0" fillId="2" borderId="3" xfId="0" applyNumberFormat="1" applyFill="1" applyBorder="1"/>
    <xf numFmtId="9" fontId="0" fillId="2" borderId="0" xfId="0" applyNumberFormat="1" applyFill="1"/>
    <xf numFmtId="0" fontId="1" fillId="2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0" fillId="3" borderId="0" xfId="0" applyFill="1"/>
    <xf numFmtId="1" fontId="0" fillId="3" borderId="0" xfId="0" applyNumberFormat="1" applyFill="1" applyAlignment="1">
      <alignment horizontal="right"/>
    </xf>
    <xf numFmtId="0" fontId="1" fillId="4" borderId="3" xfId="0" applyFont="1" applyFill="1" applyBorder="1"/>
    <xf numFmtId="0" fontId="0" fillId="4" borderId="3" xfId="0" applyFill="1" applyBorder="1"/>
    <xf numFmtId="0" fontId="0" fillId="4" borderId="0" xfId="0" applyFill="1"/>
    <xf numFmtId="0" fontId="1" fillId="5" borderId="0" xfId="0" applyFont="1" applyFill="1"/>
    <xf numFmtId="164" fontId="0" fillId="5" borderId="0" xfId="0" applyNumberFormat="1" applyFill="1" applyAlignment="1">
      <alignment horizontal="right"/>
    </xf>
    <xf numFmtId="0" fontId="0" fillId="5" borderId="0" xfId="0" applyFill="1"/>
    <xf numFmtId="165" fontId="0" fillId="5" borderId="0" xfId="1" applyNumberFormat="1" applyFont="1" applyFill="1" applyBorder="1" applyAlignment="1">
      <alignment horizontal="right"/>
    </xf>
    <xf numFmtId="0" fontId="1" fillId="6" borderId="3" xfId="0" applyFont="1" applyFill="1" applyBorder="1"/>
    <xf numFmtId="0" fontId="0" fillId="6" borderId="3" xfId="0" applyFill="1" applyBorder="1"/>
    <xf numFmtId="0" fontId="0" fillId="6" borderId="0" xfId="0" applyFill="1"/>
    <xf numFmtId="164" fontId="0" fillId="6" borderId="3" xfId="0" applyNumberFormat="1" applyFill="1" applyBorder="1"/>
    <xf numFmtId="164" fontId="0" fillId="6" borderId="0" xfId="0" applyNumberFormat="1" applyFill="1" applyAlignment="1">
      <alignment horizontal="right"/>
    </xf>
    <xf numFmtId="0" fontId="0" fillId="6" borderId="1" xfId="0" applyFill="1" applyBorder="1"/>
    <xf numFmtId="164" fontId="0" fillId="6" borderId="1" xfId="0" applyNumberFormat="1" applyFill="1" applyBorder="1" applyAlignment="1">
      <alignment horizontal="right"/>
    </xf>
    <xf numFmtId="14" fontId="0" fillId="2" borderId="0" xfId="0" applyNumberFormat="1" applyFill="1"/>
    <xf numFmtId="1" fontId="0" fillId="4" borderId="0" xfId="0" applyNumberFormat="1" applyFill="1"/>
    <xf numFmtId="164" fontId="0" fillId="2" borderId="0" xfId="0" applyNumberFormat="1" applyFill="1"/>
    <xf numFmtId="0" fontId="1" fillId="7" borderId="3" xfId="0" applyFont="1" applyFill="1" applyBorder="1"/>
    <xf numFmtId="164" fontId="0" fillId="7" borderId="3" xfId="0" applyNumberFormat="1" applyFill="1" applyBorder="1"/>
    <xf numFmtId="0" fontId="0" fillId="7" borderId="0" xfId="0" applyFill="1"/>
    <xf numFmtId="1" fontId="0" fillId="7" borderId="0" xfId="0" applyNumberFormat="1" applyFill="1"/>
    <xf numFmtId="0" fontId="0" fillId="7" borderId="1" xfId="0" applyFill="1" applyBorder="1"/>
    <xf numFmtId="1" fontId="0" fillId="7" borderId="1" xfId="0" applyNumberFormat="1" applyFill="1" applyBorder="1"/>
    <xf numFmtId="9" fontId="0" fillId="2" borderId="0" xfId="1" applyFont="1" applyFill="1"/>
    <xf numFmtId="0" fontId="0" fillId="2" borderId="0" xfId="0" applyFill="1" applyAlignment="1">
      <alignment horizontal="left"/>
    </xf>
    <xf numFmtId="1" fontId="0" fillId="0" borderId="0" xfId="0" applyNumberFormat="1"/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17" fontId="0" fillId="0" borderId="0" xfId="0" applyNumberFormat="1"/>
    <xf numFmtId="14" fontId="1" fillId="2" borderId="2" xfId="0" applyNumberFormat="1" applyFont="1" applyFill="1" applyBorder="1" applyAlignment="1">
      <alignment horizontal="center"/>
    </xf>
    <xf numFmtId="164" fontId="0" fillId="3" borderId="4" xfId="0" applyNumberFormat="1" applyFill="1" applyBorder="1" applyAlignment="1">
      <alignment horizontal="right"/>
    </xf>
    <xf numFmtId="1" fontId="0" fillId="3" borderId="4" xfId="0" applyNumberFormat="1" applyFill="1" applyBorder="1" applyAlignment="1">
      <alignment horizontal="right"/>
    </xf>
    <xf numFmtId="164" fontId="0" fillId="6" borderId="4" xfId="0" applyNumberFormat="1" applyFill="1" applyBorder="1" applyAlignment="1">
      <alignment horizontal="right"/>
    </xf>
    <xf numFmtId="164" fontId="0" fillId="6" borderId="5" xfId="0" applyNumberFormat="1" applyFill="1" applyBorder="1" applyAlignment="1">
      <alignment horizontal="right"/>
    </xf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164" fontId="0" fillId="3" borderId="5" xfId="0" applyNumberFormat="1" applyFill="1" applyBorder="1"/>
    <xf numFmtId="164" fontId="0" fillId="4" borderId="4" xfId="0" applyNumberFormat="1" applyFill="1" applyBorder="1"/>
    <xf numFmtId="0" fontId="0" fillId="4" borderId="4" xfId="0" applyFill="1" applyBorder="1"/>
    <xf numFmtId="164" fontId="0" fillId="4" borderId="5" xfId="0" applyNumberFormat="1" applyFill="1" applyBorder="1"/>
    <xf numFmtId="164" fontId="0" fillId="7" borderId="4" xfId="0" applyNumberFormat="1" applyFill="1" applyBorder="1"/>
    <xf numFmtId="164" fontId="0" fillId="7" borderId="5" xfId="0" applyNumberFormat="1" applyFill="1" applyBorder="1"/>
    <xf numFmtId="0" fontId="1" fillId="8" borderId="0" xfId="0" applyFont="1" applyFill="1"/>
    <xf numFmtId="164" fontId="0" fillId="8" borderId="0" xfId="0" applyNumberFormat="1" applyFill="1"/>
    <xf numFmtId="1" fontId="0" fillId="8" borderId="0" xfId="0" applyNumberFormat="1" applyFill="1"/>
    <xf numFmtId="0" fontId="0" fillId="8" borderId="0" xfId="0" applyFill="1"/>
    <xf numFmtId="164" fontId="0" fillId="8" borderId="4" xfId="0" applyNumberFormat="1" applyFill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1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No Harvest Project Scenario, 1st Crediting Period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Project Stocks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'Example A-No Harvest Project'!$D$20:$X$20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'Example A-No Harvest Project'!$D$70:$X$70</c:f>
              <c:numCache>
                <c:formatCode>0.0</c:formatCode>
                <c:ptCount val="21"/>
                <c:pt idx="0">
                  <c:v>20939.759999999998</c:v>
                </c:pt>
                <c:pt idx="1">
                  <c:v>21653.5072</c:v>
                </c:pt>
                <c:pt idx="2">
                  <c:v>22341.24</c:v>
                </c:pt>
                <c:pt idx="3">
                  <c:v>23004.790399999998</c:v>
                </c:pt>
                <c:pt idx="4">
                  <c:v>23811.603200000001</c:v>
                </c:pt>
                <c:pt idx="5">
                  <c:v>24507.396799999999</c:v>
                </c:pt>
                <c:pt idx="6">
                  <c:v>25114.155200000001</c:v>
                </c:pt>
                <c:pt idx="7">
                  <c:v>25823.871999999999</c:v>
                </c:pt>
                <c:pt idx="8">
                  <c:v>26432.828800000003</c:v>
                </c:pt>
                <c:pt idx="9">
                  <c:v>26969.604800000001</c:v>
                </c:pt>
                <c:pt idx="10">
                  <c:v>27511.144</c:v>
                </c:pt>
                <c:pt idx="11">
                  <c:v>29119.443990067612</c:v>
                </c:pt>
                <c:pt idx="12">
                  <c:v>29603.458390067612</c:v>
                </c:pt>
                <c:pt idx="13">
                  <c:v>30080.511190067609</c:v>
                </c:pt>
                <c:pt idx="14">
                  <c:v>30556.46479006761</c:v>
                </c:pt>
                <c:pt idx="15">
                  <c:v>30973.427990067612</c:v>
                </c:pt>
                <c:pt idx="16">
                  <c:v>31395.154390067612</c:v>
                </c:pt>
                <c:pt idx="17">
                  <c:v>31794.530390067615</c:v>
                </c:pt>
                <c:pt idx="18">
                  <c:v>32186.944790067613</c:v>
                </c:pt>
                <c:pt idx="19">
                  <c:v>32546.383190067609</c:v>
                </c:pt>
                <c:pt idx="20">
                  <c:v>32923.042390067611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0A5-464E-A86F-E0C6BCCA2D9D}"/>
            </c:ext>
          </c:extLst>
        </c:ser>
        <c:ser>
          <c:idx val="2"/>
          <c:order val="1"/>
          <c:tx>
            <c:v>Baseline Stocks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'Example A-No Harvest Project'!$D$20:$X$20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'Example A-No Harvest Project'!$D$68:$X$68</c:f>
              <c:numCache>
                <c:formatCode>0.0</c:formatCode>
                <c:ptCount val="21"/>
                <c:pt idx="0">
                  <c:v>20939.759999999998</c:v>
                </c:pt>
                <c:pt idx="1">
                  <c:v>15536.8256</c:v>
                </c:pt>
                <c:pt idx="2">
                  <c:v>10801.472000000002</c:v>
                </c:pt>
                <c:pt idx="3">
                  <c:v>11392.475199999999</c:v>
                </c:pt>
                <c:pt idx="4">
                  <c:v>12145.793600000001</c:v>
                </c:pt>
                <c:pt idx="5">
                  <c:v>12795.4208</c:v>
                </c:pt>
                <c:pt idx="6">
                  <c:v>13386.424000000001</c:v>
                </c:pt>
                <c:pt idx="7">
                  <c:v>14081.851199999999</c:v>
                </c:pt>
                <c:pt idx="8">
                  <c:v>11973.951999999999</c:v>
                </c:pt>
                <c:pt idx="9">
                  <c:v>12481.416000000001</c:v>
                </c:pt>
                <c:pt idx="10">
                  <c:v>12999.871999999998</c:v>
                </c:pt>
                <c:pt idx="11">
                  <c:v>10535.465600000001</c:v>
                </c:pt>
                <c:pt idx="12">
                  <c:v>11117.308799999999</c:v>
                </c:pt>
                <c:pt idx="13">
                  <c:v>11771.3328</c:v>
                </c:pt>
                <c:pt idx="14">
                  <c:v>8851.8576000000012</c:v>
                </c:pt>
                <c:pt idx="15">
                  <c:v>9496.7216000000008</c:v>
                </c:pt>
                <c:pt idx="16">
                  <c:v>10157.340799999998</c:v>
                </c:pt>
                <c:pt idx="17">
                  <c:v>11228.328</c:v>
                </c:pt>
                <c:pt idx="18">
                  <c:v>12418.7616</c:v>
                </c:pt>
                <c:pt idx="19">
                  <c:v>13305.083199999999</c:v>
                </c:pt>
                <c:pt idx="20">
                  <c:v>10789.380800000001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0A5-464E-A86F-E0C6BCCA2D9D}"/>
            </c:ext>
          </c:extLst>
        </c:ser>
        <c:ser>
          <c:idx val="3"/>
          <c:order val="2"/>
          <c:tx>
            <c:v>Baseline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'Example A-No Harvest Project'!$D$20:$X$20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'Example A-No Harvest Project'!$D$69:$X$69</c:f>
              <c:numCache>
                <c:formatCode>0.0</c:formatCode>
                <c:ptCount val="21"/>
                <c:pt idx="0">
                  <c:v>20939.759999999998</c:v>
                </c:pt>
                <c:pt idx="1">
                  <c:v>15536.8256</c:v>
                </c:pt>
                <c:pt idx="2">
                  <c:v>12295.563961904765</c:v>
                </c:pt>
                <c:pt idx="3">
                  <c:v>12295.563961904765</c:v>
                </c:pt>
                <c:pt idx="4">
                  <c:v>12295.563961904765</c:v>
                </c:pt>
                <c:pt idx="5">
                  <c:v>12295.563961904765</c:v>
                </c:pt>
                <c:pt idx="6">
                  <c:v>12295.563961904765</c:v>
                </c:pt>
                <c:pt idx="7">
                  <c:v>12295.563961904765</c:v>
                </c:pt>
                <c:pt idx="8">
                  <c:v>12295.563961904765</c:v>
                </c:pt>
                <c:pt idx="9">
                  <c:v>12295.563961904765</c:v>
                </c:pt>
                <c:pt idx="10">
                  <c:v>12295.563961904765</c:v>
                </c:pt>
                <c:pt idx="11">
                  <c:v>12295.563961904765</c:v>
                </c:pt>
                <c:pt idx="12">
                  <c:v>12295.563961904765</c:v>
                </c:pt>
                <c:pt idx="13">
                  <c:v>12295.563961904765</c:v>
                </c:pt>
                <c:pt idx="14">
                  <c:v>12295.563961904765</c:v>
                </c:pt>
                <c:pt idx="15">
                  <c:v>12295.563961904765</c:v>
                </c:pt>
                <c:pt idx="16">
                  <c:v>12295.563961904765</c:v>
                </c:pt>
                <c:pt idx="17">
                  <c:v>12295.563961904765</c:v>
                </c:pt>
                <c:pt idx="18">
                  <c:v>12295.563961904765</c:v>
                </c:pt>
                <c:pt idx="19">
                  <c:v>12295.563961904765</c:v>
                </c:pt>
                <c:pt idx="20">
                  <c:v>12295.563961904765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A5-464E-A86F-E0C6BCCA2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182424"/>
        <c:axId val="566183408"/>
      </c:lineChart>
      <c:scatterChart>
        <c:scatterStyle val="lineMarker"/>
        <c:varyColors val="0"/>
        <c:ser>
          <c:idx val="0"/>
          <c:order val="3"/>
          <c:tx>
            <c:v>Initial Carbon Stocks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'Example A-No Harvest Project'!$D$67:$X$67</c:f>
              <c:numCache>
                <c:formatCode>0.0</c:formatCode>
                <c:ptCount val="21"/>
                <c:pt idx="0">
                  <c:v>20939.759999999998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0A5-464E-A86F-E0C6BCCA2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182424"/>
        <c:axId val="566183408"/>
      </c:scatterChart>
      <c:catAx>
        <c:axId val="566182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Project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en-US"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183408"/>
        <c:crosses val="autoZero"/>
        <c:auto val="1"/>
        <c:lblAlgn val="ctr"/>
        <c:lblOffset val="100"/>
        <c:noMultiLvlLbl val="0"/>
      </c:catAx>
      <c:valAx>
        <c:axId val="56618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Carbon stocks (t CO2e)</a:t>
                </a: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b="1">
                    <a:solidFill>
                      <a:sysClr val="windowText" lastClr="000000"/>
                    </a:solidFill>
                  </a:defRPr>
                </a:pPr>
                <a:endParaRPr lang="en-US"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2.4322830292979547E-2"/>
              <c:y val="0.257543174503910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lang="en-US"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182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Light Harvest Project Scenario, 1st Crediting Period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Project Stocks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'Example A-No Harvest Project'!$D$20:$X$20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'Example B-Light Harvest Project'!$D$70:$X$70</c:f>
              <c:numCache>
                <c:formatCode>0.0</c:formatCode>
                <c:ptCount val="21"/>
                <c:pt idx="0">
                  <c:v>18758.947200000002</c:v>
                </c:pt>
                <c:pt idx="1">
                  <c:v>19596.171199999997</c:v>
                </c:pt>
                <c:pt idx="2">
                  <c:v>20404.4496</c:v>
                </c:pt>
                <c:pt idx="3">
                  <c:v>19249.556799999998</c:v>
                </c:pt>
                <c:pt idx="4">
                  <c:v>20264.484800000006</c:v>
                </c:pt>
                <c:pt idx="5">
                  <c:v>21120.395199999999</c:v>
                </c:pt>
                <c:pt idx="6">
                  <c:v>21877.377600000003</c:v>
                </c:pt>
                <c:pt idx="7">
                  <c:v>22797.774400000002</c:v>
                </c:pt>
                <c:pt idx="8">
                  <c:v>23582.236799999999</c:v>
                </c:pt>
                <c:pt idx="9">
                  <c:v>24274</c:v>
                </c:pt>
                <c:pt idx="10">
                  <c:v>24950.007999999998</c:v>
                </c:pt>
                <c:pt idx="11">
                  <c:v>25619.054400000001</c:v>
                </c:pt>
                <c:pt idx="12">
                  <c:v>26255.109428081138</c:v>
                </c:pt>
                <c:pt idx="13">
                  <c:v>24271.467753139201</c:v>
                </c:pt>
                <c:pt idx="14">
                  <c:v>24872.04527819726</c:v>
                </c:pt>
                <c:pt idx="15">
                  <c:v>25432.318803255326</c:v>
                </c:pt>
                <c:pt idx="16">
                  <c:v>25979.768328313388</c:v>
                </c:pt>
                <c:pt idx="17">
                  <c:v>26516.225853371448</c:v>
                </c:pt>
                <c:pt idx="18">
                  <c:v>27039.859378429508</c:v>
                </c:pt>
                <c:pt idx="19">
                  <c:v>24401.460903487572</c:v>
                </c:pt>
                <c:pt idx="20">
                  <c:v>24914.102428545633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0CD-40E6-8A86-82459A193DF6}"/>
            </c:ext>
          </c:extLst>
        </c:ser>
        <c:ser>
          <c:idx val="2"/>
          <c:order val="1"/>
          <c:tx>
            <c:v>Baseline Stocks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'Example A-No Harvest Project'!$D$20:$X$20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'Example B-Light Harvest Project'!$D$68:$X$68</c:f>
              <c:numCache>
                <c:formatCode>0.0</c:formatCode>
                <c:ptCount val="21"/>
                <c:pt idx="0">
                  <c:v>18758.947200000002</c:v>
                </c:pt>
                <c:pt idx="1">
                  <c:v>13662.689600000002</c:v>
                </c:pt>
                <c:pt idx="2">
                  <c:v>10470.612800000001</c:v>
                </c:pt>
                <c:pt idx="3">
                  <c:v>11138.193599999999</c:v>
                </c:pt>
                <c:pt idx="4">
                  <c:v>12073.9792</c:v>
                </c:pt>
                <c:pt idx="5">
                  <c:v>12837.190399999999</c:v>
                </c:pt>
                <c:pt idx="6">
                  <c:v>13517.961599999999</c:v>
                </c:pt>
                <c:pt idx="7">
                  <c:v>14364.712</c:v>
                </c:pt>
                <c:pt idx="8">
                  <c:v>12668.280000000002</c:v>
                </c:pt>
                <c:pt idx="9">
                  <c:v>13271.7408</c:v>
                </c:pt>
                <c:pt idx="10">
                  <c:v>13880.331200000002</c:v>
                </c:pt>
                <c:pt idx="11">
                  <c:v>11494.334400000002</c:v>
                </c:pt>
                <c:pt idx="12">
                  <c:v>12137.7328</c:v>
                </c:pt>
                <c:pt idx="13">
                  <c:v>12832.060799999997</c:v>
                </c:pt>
                <c:pt idx="14">
                  <c:v>10538.396800000002</c:v>
                </c:pt>
                <c:pt idx="15">
                  <c:v>11206.7104</c:v>
                </c:pt>
                <c:pt idx="16">
                  <c:v>11881.619200000001</c:v>
                </c:pt>
                <c:pt idx="17">
                  <c:v>12937.217600000002</c:v>
                </c:pt>
                <c:pt idx="18">
                  <c:v>14012.968000000001</c:v>
                </c:pt>
                <c:pt idx="19">
                  <c:v>14849.8256</c:v>
                </c:pt>
                <c:pt idx="20">
                  <c:v>12608.5568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0CD-40E6-8A86-82459A193DF6}"/>
            </c:ext>
          </c:extLst>
        </c:ser>
        <c:ser>
          <c:idx val="3"/>
          <c:order val="2"/>
          <c:tx>
            <c:v>Baseline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'Example A-No Harvest Project'!$D$20:$X$20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'Example B-Light Harvest Project'!$D$69:$X$69</c:f>
              <c:numCache>
                <c:formatCode>0.0</c:formatCode>
                <c:ptCount val="21"/>
                <c:pt idx="0">
                  <c:v>18758.947200000002</c:v>
                </c:pt>
                <c:pt idx="1">
                  <c:v>13662.689600000002</c:v>
                </c:pt>
                <c:pt idx="2">
                  <c:v>12911.621942857144</c:v>
                </c:pt>
                <c:pt idx="3">
                  <c:v>12911.621942857144</c:v>
                </c:pt>
                <c:pt idx="4">
                  <c:v>12911.621942857144</c:v>
                </c:pt>
                <c:pt idx="5">
                  <c:v>12911.621942857144</c:v>
                </c:pt>
                <c:pt idx="6">
                  <c:v>12911.621942857144</c:v>
                </c:pt>
                <c:pt idx="7">
                  <c:v>12911.621942857144</c:v>
                </c:pt>
                <c:pt idx="8">
                  <c:v>12911.621942857144</c:v>
                </c:pt>
                <c:pt idx="9">
                  <c:v>12911.621942857144</c:v>
                </c:pt>
                <c:pt idx="10">
                  <c:v>12911.621942857144</c:v>
                </c:pt>
                <c:pt idx="11">
                  <c:v>12911.621942857144</c:v>
                </c:pt>
                <c:pt idx="12">
                  <c:v>12911.621942857144</c:v>
                </c:pt>
                <c:pt idx="13">
                  <c:v>12911.621942857144</c:v>
                </c:pt>
                <c:pt idx="14">
                  <c:v>12911.621942857144</c:v>
                </c:pt>
                <c:pt idx="15">
                  <c:v>12911.621942857144</c:v>
                </c:pt>
                <c:pt idx="16">
                  <c:v>12911.621942857144</c:v>
                </c:pt>
                <c:pt idx="17">
                  <c:v>12911.621942857144</c:v>
                </c:pt>
                <c:pt idx="18">
                  <c:v>12911.621942857144</c:v>
                </c:pt>
                <c:pt idx="19">
                  <c:v>12911.621942857144</c:v>
                </c:pt>
                <c:pt idx="20">
                  <c:v>12911.621942857144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CD-40E6-8A86-82459A193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182424"/>
        <c:axId val="566183408"/>
      </c:lineChart>
      <c:scatterChart>
        <c:scatterStyle val="lineMarker"/>
        <c:varyColors val="0"/>
        <c:ser>
          <c:idx val="0"/>
          <c:order val="3"/>
          <c:tx>
            <c:v>Initial Carbon Stocks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'Example B-Light Harvest Project'!$D$67:$X$67</c:f>
              <c:numCache>
                <c:formatCode>0.0</c:formatCode>
                <c:ptCount val="21"/>
                <c:pt idx="0">
                  <c:v>18758.947200000002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CD-40E6-8A86-82459A193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182424"/>
        <c:axId val="566183408"/>
      </c:scatterChart>
      <c:catAx>
        <c:axId val="566182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Project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en-US"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183408"/>
        <c:crosses val="autoZero"/>
        <c:auto val="1"/>
        <c:lblAlgn val="ctr"/>
        <c:lblOffset val="100"/>
        <c:noMultiLvlLbl val="0"/>
      </c:catAx>
      <c:valAx>
        <c:axId val="56618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Carbon stocks (t CO2e)</a:t>
                </a: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b="1">
                    <a:solidFill>
                      <a:sysClr val="windowText" lastClr="000000"/>
                    </a:solidFill>
                  </a:defRPr>
                </a:pPr>
                <a:endParaRPr lang="en-US"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2.4322830292979547E-2"/>
              <c:y val="0.257543174503910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lang="en-US"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182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9</xdr:col>
      <xdr:colOff>257175</xdr:colOff>
      <xdr:row>19</xdr:row>
      <xdr:rowOff>42864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3D0B9018-A63B-4591-AE0C-3D5DD7D21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171450</xdr:rowOff>
    </xdr:from>
    <xdr:to>
      <xdr:col>9</xdr:col>
      <xdr:colOff>257175</xdr:colOff>
      <xdr:row>40</xdr:row>
      <xdr:rowOff>33339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844388-0D44-4292-BECE-2A99D8AC31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aylor, Andrew" id="{9D806F36-0F0A-4807-B637-D57CBD067F3A}" userId="S::Andrew.Taylor@winrock.org::aebfda3d-ecea-4655-8858-78384daafa3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12" dT="2020-04-02T21:03:54.21" personId="{9D806F36-0F0A-4807-B637-D57CBD067F3A}" id="{81A2D5FA-C531-4A13-BBEA-B96E10C78375}">
    <text>New inventory data is measured every 10 years, in compliance with the IFM protocol. This calculates new uncertainty stats.</text>
  </threadedComment>
  <threadedComment ref="O33" dT="2022-07-06T22:01:27.06" personId="{9D806F36-0F0A-4807-B637-D57CBD067F3A}" id="{4F424CA3-E80F-46B8-A686-9F61AE975406}">
    <text>Dead wood is held static in between measurement events</text>
  </threadedComment>
  <threadedComment ref="D34" dT="2021-09-02T20:50:07.10" personId="{9D806F36-0F0A-4807-B637-D57CBD067F3A}" id="{E705F8D9-10E6-4F92-834E-5E00552ED7F4}">
    <text>No HWPs or GHGs are recorded prior to the Start Date.</text>
  </threadedComment>
  <threadedComment ref="E46" dT="2021-09-02T20:48:39.80" personId="{9D806F36-0F0A-4807-B637-D57CBD067F3A}" id="{C5E2802D-1B72-4F80-888A-F8AD0E05B4FB}">
    <text>Example A assumes a project Start Date of 9/15/2020. The Start Date can be set in ACR Parameters (cell E17). This function (as written here) only works for annual reporting and verifications.</text>
  </threadedComment>
  <threadedComment ref="E56" dT="2021-04-19T18:54:37.67" personId="{9D806F36-0F0A-4807-B637-D57CBD067F3A}" id="{38D6F090-1BCE-48AF-ABF8-31D24A4A9FB3}">
    <text>Negative balance is only applicable prior to the first offset credit issuance.</text>
  </threadedComment>
  <threadedComment ref="C59" dT="2022-06-09T14:40:18.68" personId="{9D806F36-0F0A-4807-B637-D57CBD067F3A}" id="{AB30D19E-76D3-4D1C-81CD-01D2F7526689}">
    <text>This section may optionally be used to distinguish ERTs into removals and emission reductions.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O12" dT="2020-04-02T21:03:54.21" personId="{9D806F36-0F0A-4807-B637-D57CBD067F3A}" id="{D194ED31-FB9A-4144-B7DD-F52440A08F42}">
    <text>New inventory data is measured every 10 years, in compliance with the IFM protocol. This calculates new uncertainty stats.</text>
  </threadedComment>
  <threadedComment ref="E33" dT="2022-07-06T22:01:09.76" personId="{9D806F36-0F0A-4807-B637-D57CBD067F3A}" id="{44B581ED-3DC6-44AE-8BCF-40CB6ACD4E3F}">
    <text>Dead wood is modeled in between measurement events.</text>
  </threadedComment>
  <threadedComment ref="D34" dT="2021-09-02T20:50:07.10" personId="{9D806F36-0F0A-4807-B637-D57CBD067F3A}" id="{EF5BBC4D-FB0F-42C7-81C1-84B28049C5EE}">
    <text>No HWPs or GHGs are recorded prior to the Start Date.</text>
  </threadedComment>
  <threadedComment ref="E46" dT="2020-12-28T18:48:26.60" personId="{9D806F36-0F0A-4807-B637-D57CBD067F3A}" id="{F87A02E5-09A9-4E97-B174-F1C60D491ACA}">
    <text>Example B assumes a project Start Date of 6/1/2020. The Start Date can be set in ACR Parameters (cell E17). This function only works for annual reporting and verifications.</text>
  </threadedComment>
  <threadedComment ref="E56" dT="2021-04-19T18:54:37.67" personId="{9D806F36-0F0A-4807-B637-D57CBD067F3A}" id="{3F5DDFFC-0E8B-4390-8A47-4B45EE394156}">
    <text>Negative balance is only applicable prior to the first offset credit issuance.</text>
  </threadedComment>
  <threadedComment ref="C59" dT="2022-06-09T14:40:18.68" personId="{9D806F36-0F0A-4807-B637-D57CBD067F3A}" id="{91BD7F32-5D4C-41F5-9273-AE3043FCB25F}">
    <text>This section may optionally be used to distinguish ERTs into removals and emission reductions.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1FC98-A67D-42F2-8EB9-7AA9BDEF53F9}">
  <dimension ref="A1:B7"/>
  <sheetViews>
    <sheetView tabSelected="1" workbookViewId="0"/>
  </sheetViews>
  <sheetFormatPr defaultRowHeight="14.5"/>
  <sheetData>
    <row r="1" spans="1:2">
      <c r="A1" s="2" t="s">
        <v>0</v>
      </c>
      <c r="B1" s="11" t="s">
        <v>1</v>
      </c>
    </row>
    <row r="3" spans="1:2">
      <c r="A3" s="2" t="s">
        <v>2</v>
      </c>
      <c r="B3" s="1">
        <v>2</v>
      </c>
    </row>
    <row r="5" spans="1:2">
      <c r="A5" s="2" t="s">
        <v>3</v>
      </c>
      <c r="B5" s="52">
        <v>44743</v>
      </c>
    </row>
    <row r="7" spans="1:2">
      <c r="A7" t="s">
        <v>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5DBAE-7E69-43ED-A51A-8CF3E510BCE6}">
  <sheetPr>
    <pageSetUpPr autoPageBreaks="0"/>
  </sheetPr>
  <dimension ref="A1:Z79"/>
  <sheetViews>
    <sheetView zoomScaleNormal="100" zoomScaleSheetLayoutView="70" workbookViewId="0"/>
  </sheetViews>
  <sheetFormatPr defaultRowHeight="14.5"/>
  <cols>
    <col min="2" max="2" width="15.54296875" customWidth="1"/>
    <col min="3" max="3" width="37.26953125" customWidth="1"/>
    <col min="4" max="4" width="9.7265625" bestFit="1" customWidth="1"/>
    <col min="5" max="24" width="9.7265625" customWidth="1"/>
  </cols>
  <sheetData>
    <row r="1" spans="1:24">
      <c r="B1" t="s">
        <v>5</v>
      </c>
    </row>
    <row r="2" spans="1:24">
      <c r="B2" t="s">
        <v>6</v>
      </c>
    </row>
    <row r="3" spans="1:24">
      <c r="B3" t="s">
        <v>7</v>
      </c>
    </row>
    <row r="4" spans="1:24">
      <c r="B4" t="s">
        <v>8</v>
      </c>
    </row>
    <row r="5" spans="1:24">
      <c r="B5" t="s">
        <v>9</v>
      </c>
      <c r="M5" s="11"/>
    </row>
    <row r="7" spans="1:24">
      <c r="A7" s="3"/>
      <c r="B7" s="3"/>
      <c r="C7" s="3"/>
      <c r="D7" s="3"/>
      <c r="E7" s="3"/>
      <c r="F7" s="3"/>
      <c r="G7" s="3"/>
      <c r="H7" s="3"/>
      <c r="I7" s="75" t="s">
        <v>10</v>
      </c>
      <c r="J7" s="75"/>
      <c r="K7" s="75"/>
      <c r="L7" s="75"/>
      <c r="M7" s="75"/>
      <c r="N7" s="75"/>
      <c r="O7" s="75"/>
      <c r="P7" s="75"/>
      <c r="Q7" s="75"/>
      <c r="R7" s="75"/>
      <c r="S7" s="75"/>
      <c r="T7" s="3"/>
      <c r="U7" s="3"/>
      <c r="V7" s="3"/>
      <c r="W7" s="3"/>
      <c r="X7" s="3"/>
    </row>
    <row r="8" spans="1:24">
      <c r="A8" s="3"/>
      <c r="B8" s="3"/>
      <c r="C8" s="3"/>
      <c r="D8" s="3"/>
      <c r="E8" s="3"/>
      <c r="F8" s="3"/>
      <c r="G8" s="4"/>
      <c r="H8" s="4"/>
      <c r="I8" s="4"/>
      <c r="J8" s="75" t="s">
        <v>11</v>
      </c>
      <c r="K8" s="75"/>
      <c r="L8" s="75"/>
      <c r="M8" s="75"/>
      <c r="N8" s="75"/>
      <c r="O8" s="75"/>
      <c r="P8" s="75"/>
      <c r="Q8" s="75"/>
      <c r="R8" s="75"/>
      <c r="S8" s="4"/>
      <c r="T8" s="4"/>
      <c r="U8" s="4"/>
      <c r="V8" s="3"/>
      <c r="W8" s="3"/>
      <c r="X8" s="3"/>
    </row>
    <row r="9" spans="1:24">
      <c r="A9" s="8"/>
      <c r="B9" s="8"/>
      <c r="C9" s="8"/>
      <c r="D9" s="8"/>
      <c r="E9" s="13"/>
      <c r="F9" s="8"/>
      <c r="G9" s="8"/>
      <c r="H9" s="8"/>
      <c r="I9" s="13"/>
      <c r="J9" s="12"/>
      <c r="K9" s="73" t="s">
        <v>12</v>
      </c>
      <c r="L9" s="73"/>
      <c r="M9" s="73"/>
      <c r="N9" s="73"/>
      <c r="O9" s="73"/>
      <c r="P9" s="73"/>
      <c r="Q9" s="73"/>
      <c r="R9" s="12"/>
      <c r="S9" s="12"/>
      <c r="T9" s="8"/>
      <c r="U9" s="8"/>
      <c r="V9" s="12"/>
      <c r="W9" s="12"/>
      <c r="X9" s="12"/>
    </row>
    <row r="10" spans="1:24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>
      <c r="A12" s="5"/>
      <c r="B12" s="3"/>
      <c r="C12" s="73" t="s">
        <v>13</v>
      </c>
      <c r="D12" s="73"/>
      <c r="E12" s="73"/>
      <c r="F12" s="3"/>
      <c r="G12" s="3"/>
      <c r="H12" s="3"/>
      <c r="I12" s="3"/>
      <c r="J12" s="3"/>
      <c r="K12" s="3"/>
      <c r="L12" s="3"/>
      <c r="M12" s="3"/>
      <c r="O12" s="73" t="s">
        <v>14</v>
      </c>
      <c r="P12" s="73"/>
      <c r="Q12" s="73"/>
      <c r="R12" s="73"/>
      <c r="S12" s="73"/>
      <c r="T12" s="3"/>
      <c r="U12" s="3"/>
      <c r="V12" s="3"/>
      <c r="W12" s="3"/>
    </row>
    <row r="13" spans="1:24" ht="16.5">
      <c r="A13" s="71" t="s">
        <v>15</v>
      </c>
      <c r="B13" s="71"/>
      <c r="C13" s="74" t="s">
        <v>16</v>
      </c>
      <c r="D13" s="74"/>
      <c r="E13" s="15">
        <v>7.0000000000000007E-2</v>
      </c>
      <c r="F13" s="3"/>
      <c r="G13" s="38"/>
      <c r="H13" s="38"/>
      <c r="I13" s="38"/>
      <c r="J13" s="3"/>
      <c r="K13" s="3"/>
      <c r="L13" s="3"/>
      <c r="M13" s="3"/>
      <c r="N13" s="3" t="s">
        <v>17</v>
      </c>
      <c r="O13" s="72" t="s">
        <v>18</v>
      </c>
      <c r="P13" s="72"/>
      <c r="Q13" s="72"/>
      <c r="R13" s="72"/>
      <c r="S13" s="16">
        <v>0.09</v>
      </c>
      <c r="T13" s="3"/>
      <c r="U13" s="3"/>
      <c r="V13" s="3"/>
      <c r="W13" s="3"/>
      <c r="X13" s="3"/>
    </row>
    <row r="14" spans="1:24" ht="16.5">
      <c r="A14" s="71" t="s">
        <v>19</v>
      </c>
      <c r="B14" s="71"/>
      <c r="C14" s="72" t="s">
        <v>20</v>
      </c>
      <c r="D14" s="72"/>
      <c r="E14" s="16">
        <v>0.28000000000000003</v>
      </c>
      <c r="F14" s="3"/>
      <c r="G14" s="38"/>
      <c r="H14" s="38"/>
      <c r="I14" s="38"/>
      <c r="J14" s="3"/>
      <c r="K14" s="3"/>
      <c r="L14" s="3"/>
      <c r="M14" s="3"/>
      <c r="N14" s="3" t="s">
        <v>21</v>
      </c>
      <c r="O14" s="72" t="s">
        <v>22</v>
      </c>
      <c r="P14" s="72"/>
      <c r="Q14" s="72"/>
      <c r="R14" s="72"/>
      <c r="S14" s="16">
        <v>0.23</v>
      </c>
      <c r="T14" s="3"/>
      <c r="U14" s="3"/>
      <c r="V14" s="3"/>
      <c r="W14" s="3"/>
      <c r="X14" s="3"/>
    </row>
    <row r="15" spans="1:24">
      <c r="A15" s="5"/>
      <c r="B15" s="3" t="s">
        <v>23</v>
      </c>
      <c r="C15" s="72" t="s">
        <v>24</v>
      </c>
      <c r="D15" s="72"/>
      <c r="E15" s="45">
        <v>0.3</v>
      </c>
      <c r="F15" s="3"/>
      <c r="G15" s="38"/>
      <c r="H15" s="38"/>
      <c r="I15" s="38"/>
      <c r="J15" s="3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>
      <c r="A16" s="5"/>
      <c r="B16" s="3" t="s">
        <v>25</v>
      </c>
      <c r="C16" s="72" t="s">
        <v>26</v>
      </c>
      <c r="D16" s="72"/>
      <c r="E16" s="16">
        <v>0.15</v>
      </c>
      <c r="F16" s="3"/>
      <c r="G16" s="38"/>
      <c r="H16" s="38"/>
      <c r="I16" s="38"/>
      <c r="J16" s="38"/>
      <c r="K16" s="38"/>
      <c r="L16" s="3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6">
      <c r="A17" s="5"/>
      <c r="B17" s="3"/>
      <c r="C17" s="72" t="s">
        <v>27</v>
      </c>
      <c r="D17" s="72"/>
      <c r="E17" s="36">
        <v>44089</v>
      </c>
      <c r="F17" s="3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1:26">
      <c r="A18" s="5"/>
      <c r="B18" s="3"/>
      <c r="C18" s="3"/>
      <c r="D18" s="3"/>
      <c r="E18" s="16"/>
      <c r="F18" s="3"/>
      <c r="G18" s="3"/>
      <c r="H18" s="38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6">
      <c r="A19" s="5"/>
      <c r="B19" s="3"/>
      <c r="C19" s="3"/>
      <c r="D19" s="3"/>
      <c r="E19" s="3" t="s">
        <v>28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6" ht="15" thickBot="1">
      <c r="A20" s="17"/>
      <c r="B20" s="4"/>
      <c r="C20" s="6" t="s">
        <v>29</v>
      </c>
      <c r="D20" s="7">
        <v>0</v>
      </c>
      <c r="E20" s="7">
        <f>D20+1</f>
        <v>1</v>
      </c>
      <c r="F20" s="7">
        <f t="shared" ref="F20:U20" si="0">E20+1</f>
        <v>2</v>
      </c>
      <c r="G20" s="7">
        <f t="shared" si="0"/>
        <v>3</v>
      </c>
      <c r="H20" s="7">
        <f t="shared" si="0"/>
        <v>4</v>
      </c>
      <c r="I20" s="7">
        <f t="shared" si="0"/>
        <v>5</v>
      </c>
      <c r="J20" s="7">
        <f t="shared" si="0"/>
        <v>6</v>
      </c>
      <c r="K20" s="7">
        <f t="shared" si="0"/>
        <v>7</v>
      </c>
      <c r="L20" s="7">
        <f t="shared" si="0"/>
        <v>8</v>
      </c>
      <c r="M20" s="7">
        <f>L20+1</f>
        <v>9</v>
      </c>
      <c r="N20" s="7">
        <f t="shared" si="0"/>
        <v>10</v>
      </c>
      <c r="O20" s="7">
        <f t="shared" si="0"/>
        <v>11</v>
      </c>
      <c r="P20" s="7">
        <f t="shared" si="0"/>
        <v>12</v>
      </c>
      <c r="Q20" s="7">
        <f t="shared" si="0"/>
        <v>13</v>
      </c>
      <c r="R20" s="7">
        <f t="shared" si="0"/>
        <v>14</v>
      </c>
      <c r="S20" s="7">
        <f t="shared" si="0"/>
        <v>15</v>
      </c>
      <c r="T20" s="7">
        <f t="shared" si="0"/>
        <v>16</v>
      </c>
      <c r="U20" s="7">
        <f t="shared" si="0"/>
        <v>17</v>
      </c>
      <c r="V20" s="7">
        <f t="shared" ref="V20:W20" si="1">U20+1</f>
        <v>18</v>
      </c>
      <c r="W20" s="7">
        <f t="shared" si="1"/>
        <v>19</v>
      </c>
      <c r="X20" s="7">
        <f>W20+1</f>
        <v>20</v>
      </c>
    </row>
    <row r="21" spans="1:26" ht="15.5" thickTop="1" thickBot="1">
      <c r="A21" s="17"/>
      <c r="B21" s="4"/>
      <c r="C21" s="6" t="s">
        <v>30</v>
      </c>
      <c r="D21" s="7"/>
      <c r="E21" s="7">
        <v>1</v>
      </c>
      <c r="F21" s="7">
        <v>2</v>
      </c>
      <c r="G21" s="7">
        <v>3</v>
      </c>
      <c r="H21" s="7">
        <v>4</v>
      </c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P21" s="7">
        <v>12</v>
      </c>
      <c r="Q21" s="7">
        <v>13</v>
      </c>
      <c r="R21" s="7">
        <v>14</v>
      </c>
      <c r="S21" s="7">
        <v>15</v>
      </c>
      <c r="T21" s="7">
        <v>16</v>
      </c>
      <c r="U21" s="7">
        <v>17</v>
      </c>
      <c r="V21" s="7">
        <v>18</v>
      </c>
      <c r="W21" s="7">
        <v>19</v>
      </c>
      <c r="X21" s="7">
        <v>20</v>
      </c>
    </row>
    <row r="22" spans="1:26" ht="15.5" thickTop="1" thickBot="1">
      <c r="A22" s="17" t="s">
        <v>31</v>
      </c>
      <c r="B22" s="4" t="s">
        <v>32</v>
      </c>
      <c r="C22" s="6" t="s">
        <v>33</v>
      </c>
      <c r="D22" s="53">
        <v>44089</v>
      </c>
      <c r="E22" s="53">
        <v>44454</v>
      </c>
      <c r="F22" s="53">
        <v>44819</v>
      </c>
      <c r="G22" s="53">
        <v>45184</v>
      </c>
      <c r="H22" s="53">
        <v>45550</v>
      </c>
      <c r="I22" s="53">
        <v>45915</v>
      </c>
      <c r="J22" s="53">
        <v>46280</v>
      </c>
      <c r="K22" s="53">
        <v>46645</v>
      </c>
      <c r="L22" s="53">
        <v>47011</v>
      </c>
      <c r="M22" s="53">
        <v>47376</v>
      </c>
      <c r="N22" s="53">
        <v>47741</v>
      </c>
      <c r="O22" s="53">
        <v>48106</v>
      </c>
      <c r="P22" s="53">
        <v>48472</v>
      </c>
      <c r="Q22" s="53">
        <v>48837</v>
      </c>
      <c r="R22" s="53">
        <v>49202</v>
      </c>
      <c r="S22" s="53">
        <v>49567</v>
      </c>
      <c r="T22" s="53">
        <v>49933</v>
      </c>
      <c r="U22" s="53">
        <v>50298</v>
      </c>
      <c r="V22" s="53">
        <v>50663</v>
      </c>
      <c r="W22" s="53">
        <v>51028</v>
      </c>
      <c r="X22" s="53">
        <v>51394</v>
      </c>
    </row>
    <row r="23" spans="1:26" ht="15" thickTop="1">
      <c r="A23" s="17"/>
      <c r="B23" s="48"/>
      <c r="C23" s="18" t="s">
        <v>34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6" ht="16.5">
      <c r="A24" s="5">
        <v>1</v>
      </c>
      <c r="B24" s="49" t="s">
        <v>35</v>
      </c>
      <c r="C24" s="20" t="s">
        <v>36</v>
      </c>
      <c r="D24" s="14">
        <v>19425.062399999999</v>
      </c>
      <c r="E24" s="14">
        <v>14520.0656</v>
      </c>
      <c r="F24" s="14">
        <v>10212.667200000002</v>
      </c>
      <c r="G24" s="14">
        <v>10744.313599999999</v>
      </c>
      <c r="H24" s="14">
        <v>11430.580800000002</v>
      </c>
      <c r="I24" s="14">
        <v>12008.393599999999</v>
      </c>
      <c r="J24" s="14">
        <v>12534.177600000001</v>
      </c>
      <c r="K24" s="14">
        <v>13159.255999999999</v>
      </c>
      <c r="L24" s="14">
        <v>11227.228799999999</v>
      </c>
      <c r="M24" s="14">
        <v>11673.1376</v>
      </c>
      <c r="N24" s="14">
        <v>12127.839999999998</v>
      </c>
      <c r="O24" s="14">
        <v>9879.6096000000016</v>
      </c>
      <c r="P24" s="14">
        <v>10403.561599999999</v>
      </c>
      <c r="Q24" s="14">
        <v>10999.6944</v>
      </c>
      <c r="R24" s="14">
        <v>8353.9200000000019</v>
      </c>
      <c r="S24" s="14">
        <v>8949.32</v>
      </c>
      <c r="T24" s="14">
        <v>9567.0703999999987</v>
      </c>
      <c r="U24" s="14">
        <v>10588.227199999999</v>
      </c>
      <c r="V24" s="14">
        <v>11717.838400000001</v>
      </c>
      <c r="W24" s="14">
        <v>12543.704</v>
      </c>
      <c r="X24" s="14">
        <v>10277.52</v>
      </c>
    </row>
    <row r="25" spans="1:26" ht="16.5">
      <c r="A25" s="5">
        <v>2</v>
      </c>
      <c r="B25" s="49" t="s">
        <v>37</v>
      </c>
      <c r="C25" s="20" t="s">
        <v>38</v>
      </c>
      <c r="D25" s="14">
        <v>1514.6976000000002</v>
      </c>
      <c r="E25" s="14">
        <v>1016.76</v>
      </c>
      <c r="F25" s="14">
        <v>588.8048</v>
      </c>
      <c r="G25" s="14">
        <v>648.16160000000013</v>
      </c>
      <c r="H25" s="14">
        <v>715.21280000000002</v>
      </c>
      <c r="I25" s="14">
        <v>787.02719999999999</v>
      </c>
      <c r="J25" s="14">
        <v>852.24639999999988</v>
      </c>
      <c r="K25" s="14">
        <v>922.59519999999998</v>
      </c>
      <c r="L25" s="14">
        <v>746.72320000000002</v>
      </c>
      <c r="M25" s="14">
        <v>808.27840000000015</v>
      </c>
      <c r="N25" s="14">
        <v>872.03200000000004</v>
      </c>
      <c r="O25" s="14">
        <v>655.85599999999999</v>
      </c>
      <c r="P25" s="14">
        <v>713.74720000000002</v>
      </c>
      <c r="Q25" s="14">
        <v>771.63840000000005</v>
      </c>
      <c r="R25" s="14">
        <v>497.93760000000015</v>
      </c>
      <c r="S25" s="14">
        <v>547.40160000000014</v>
      </c>
      <c r="T25" s="14">
        <v>590.27040000000011</v>
      </c>
      <c r="U25" s="14">
        <v>640.10080000000005</v>
      </c>
      <c r="V25" s="14">
        <v>700.92319999999995</v>
      </c>
      <c r="W25" s="14">
        <v>761.37920000000008</v>
      </c>
      <c r="X25" s="14">
        <v>511.86079999999998</v>
      </c>
    </row>
    <row r="26" spans="1:26" ht="16.5">
      <c r="A26" s="5">
        <v>3</v>
      </c>
      <c r="B26" s="49" t="s">
        <v>39</v>
      </c>
      <c r="C26" s="20" t="s">
        <v>40</v>
      </c>
      <c r="D26" s="54"/>
      <c r="E26" s="14">
        <v>832.90048000000002</v>
      </c>
      <c r="F26" s="14">
        <v>713.60064000000011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356.80032000000006</v>
      </c>
      <c r="M26" s="14">
        <v>0</v>
      </c>
      <c r="N26" s="14">
        <v>0</v>
      </c>
      <c r="O26" s="14">
        <v>396.44480000000004</v>
      </c>
      <c r="P26" s="14">
        <v>0</v>
      </c>
      <c r="Q26" s="14">
        <v>0</v>
      </c>
      <c r="R26" s="14">
        <v>475.73376000000002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436.08928000000003</v>
      </c>
    </row>
    <row r="27" spans="1:26" ht="16.5">
      <c r="A27" s="5">
        <v>3</v>
      </c>
      <c r="B27" s="49" t="s">
        <v>41</v>
      </c>
      <c r="C27" s="20" t="s">
        <v>42</v>
      </c>
      <c r="D27" s="54"/>
      <c r="E27" s="14">
        <f>AVERAGE(E26:X26)</f>
        <v>160.57846400000003</v>
      </c>
      <c r="F27" s="14">
        <f>E27</f>
        <v>160.57846400000003</v>
      </c>
      <c r="G27" s="14">
        <f t="shared" ref="G27:W27" si="2">F27</f>
        <v>160.57846400000003</v>
      </c>
      <c r="H27" s="14">
        <f>G27</f>
        <v>160.57846400000003</v>
      </c>
      <c r="I27" s="14">
        <f t="shared" si="2"/>
        <v>160.57846400000003</v>
      </c>
      <c r="J27" s="14">
        <f t="shared" si="2"/>
        <v>160.57846400000003</v>
      </c>
      <c r="K27" s="14">
        <f t="shared" si="2"/>
        <v>160.57846400000003</v>
      </c>
      <c r="L27" s="14">
        <f t="shared" si="2"/>
        <v>160.57846400000003</v>
      </c>
      <c r="M27" s="14">
        <f t="shared" si="2"/>
        <v>160.57846400000003</v>
      </c>
      <c r="N27" s="14">
        <f t="shared" si="2"/>
        <v>160.57846400000003</v>
      </c>
      <c r="O27" s="14">
        <f t="shared" si="2"/>
        <v>160.57846400000003</v>
      </c>
      <c r="P27" s="14">
        <f t="shared" si="2"/>
        <v>160.57846400000003</v>
      </c>
      <c r="Q27" s="14">
        <f t="shared" si="2"/>
        <v>160.57846400000003</v>
      </c>
      <c r="R27" s="14">
        <f t="shared" si="2"/>
        <v>160.57846400000003</v>
      </c>
      <c r="S27" s="14">
        <f t="shared" si="2"/>
        <v>160.57846400000003</v>
      </c>
      <c r="T27" s="14">
        <f t="shared" si="2"/>
        <v>160.57846400000003</v>
      </c>
      <c r="U27" s="14">
        <f t="shared" si="2"/>
        <v>160.57846400000003</v>
      </c>
      <c r="V27" s="14">
        <f t="shared" si="2"/>
        <v>160.57846400000003</v>
      </c>
      <c r="W27" s="14">
        <f t="shared" si="2"/>
        <v>160.57846400000003</v>
      </c>
      <c r="X27" s="14">
        <f>W27</f>
        <v>160.57846400000003</v>
      </c>
    </row>
    <row r="28" spans="1:26" ht="16.5">
      <c r="A28" s="9">
        <v>5</v>
      </c>
      <c r="B28" s="49" t="s">
        <v>43</v>
      </c>
      <c r="C28" s="20" t="s">
        <v>44</v>
      </c>
      <c r="D28" s="54"/>
      <c r="E28" s="14">
        <f>SUM(D24:X25)/21</f>
        <v>12295.563961904765</v>
      </c>
      <c r="F28" s="14">
        <f t="shared" ref="F28:H28" si="3">E28</f>
        <v>12295.563961904765</v>
      </c>
      <c r="G28" s="14">
        <f t="shared" si="3"/>
        <v>12295.563961904765</v>
      </c>
      <c r="H28" s="14">
        <f t="shared" si="3"/>
        <v>12295.563961904765</v>
      </c>
      <c r="I28" s="14">
        <f t="shared" ref="I28:W28" si="4">H28</f>
        <v>12295.563961904765</v>
      </c>
      <c r="J28" s="14">
        <f t="shared" si="4"/>
        <v>12295.563961904765</v>
      </c>
      <c r="K28" s="14">
        <f t="shared" si="4"/>
        <v>12295.563961904765</v>
      </c>
      <c r="L28" s="14">
        <f t="shared" si="4"/>
        <v>12295.563961904765</v>
      </c>
      <c r="M28" s="14">
        <f t="shared" si="4"/>
        <v>12295.563961904765</v>
      </c>
      <c r="N28" s="14">
        <f t="shared" si="4"/>
        <v>12295.563961904765</v>
      </c>
      <c r="O28" s="14">
        <f t="shared" si="4"/>
        <v>12295.563961904765</v>
      </c>
      <c r="P28" s="14">
        <f t="shared" si="4"/>
        <v>12295.563961904765</v>
      </c>
      <c r="Q28" s="14">
        <f t="shared" si="4"/>
        <v>12295.563961904765</v>
      </c>
      <c r="R28" s="14">
        <f t="shared" si="4"/>
        <v>12295.563961904765</v>
      </c>
      <c r="S28" s="14">
        <f t="shared" si="4"/>
        <v>12295.563961904765</v>
      </c>
      <c r="T28" s="14">
        <f t="shared" si="4"/>
        <v>12295.563961904765</v>
      </c>
      <c r="U28" s="14">
        <f t="shared" si="4"/>
        <v>12295.563961904765</v>
      </c>
      <c r="V28" s="14">
        <f t="shared" si="4"/>
        <v>12295.563961904765</v>
      </c>
      <c r="W28" s="14">
        <f t="shared" si="4"/>
        <v>12295.563961904765</v>
      </c>
      <c r="X28" s="14">
        <f>W28</f>
        <v>12295.563961904765</v>
      </c>
    </row>
    <row r="29" spans="1:26">
      <c r="A29" s="5" t="s">
        <v>45</v>
      </c>
      <c r="B29" s="49" t="s">
        <v>46</v>
      </c>
      <c r="C29" s="20" t="s">
        <v>47</v>
      </c>
      <c r="D29" s="55"/>
      <c r="E29" s="21">
        <f>IF(SUM($D29:D29)=0,(IF($D$24+$D$25&gt;$E$28, IF((E24+E25)&lt;=E28,1,0),IF((E24+E25)&gt;=E28,1,0))),0)</f>
        <v>0</v>
      </c>
      <c r="F29" s="21">
        <f>IF(SUM($D29:E29)=0,(IF($D$24+$D$25&gt;$E$28, IF((F24+F25)&lt;=F28,1,0),IF((F24+F25)&gt;=F28,1,0))),0)</f>
        <v>1</v>
      </c>
      <c r="G29" s="21">
        <f>IF(SUM($D29:F29)=0,(IF($D$24+$D$25&gt;$E$28, IF((G24+G25)&lt;=G28,1,0),IF((G24+G25)&gt;=G28,1,0))),0)</f>
        <v>0</v>
      </c>
      <c r="H29" s="21">
        <f>IF(SUM($D29:G29)=0,(IF($D$24+$D$25&gt;$E$28, IF((H24+H25)&lt;=H28,1,0),IF((H24+H25)&gt;=H28,1,0))),0)</f>
        <v>0</v>
      </c>
      <c r="I29" s="21">
        <f>IF(SUM($D29:H29)=0,(IF($D$24+$D$25&gt;$E$28, IF((I24+I25)&lt;=I28,1,0),IF((I24+I25)&gt;=I28,1,0))),0)</f>
        <v>0</v>
      </c>
      <c r="J29" s="21">
        <f>IF(SUM($D29:I29)=0,(IF($D$24+$D$25&gt;$E$28, IF((J24+J25)&lt;=J28,1,0),IF((J24+J25)&gt;=J28,1,0))),0)</f>
        <v>0</v>
      </c>
      <c r="K29" s="21">
        <f>IF(SUM($D29:J29)=0,(IF($D$24+$D$25&gt;$E$28, IF((K24+K25)&lt;=K28,1,0),IF((K24+K25)&gt;=K28,1,0))),0)</f>
        <v>0</v>
      </c>
      <c r="L29" s="21">
        <f>IF(SUM($D29:K29)=0,(IF($D$24+$D$25&gt;$E$28, IF((L24+L25)&lt;=L28,1,0),IF((L24+L25)&gt;=L28,1,0))),0)</f>
        <v>0</v>
      </c>
      <c r="M29" s="21">
        <f>IF(SUM($D29:L29)=0,(IF($D$24+$D$25&gt;$E$28, IF((M24+M25)&lt;=M28,1,0),IF((M24+M25)&gt;=M28,1,0))),0)</f>
        <v>0</v>
      </c>
      <c r="N29" s="21">
        <f>IF(SUM($D29:M29)=0,(IF($D$24+$D$25&gt;$E$28, IF((N24+N25)&lt;=N28,1,0),IF((N24+N25)&gt;=N28,1,0))),0)</f>
        <v>0</v>
      </c>
      <c r="O29" s="21">
        <f>IF(SUM($D29:N29)=0,(IF($D$24+$D$25&gt;$E$28, IF((O24+O25)&lt;=O28,1,0),IF((O24+O25)&gt;=O28,1,0))),0)</f>
        <v>0</v>
      </c>
      <c r="P29" s="21">
        <f>IF(SUM($D29:O29)=0,(IF($D$24+$D$25&gt;$E$28, IF((P24+P25)&lt;=P28,1,0),IF((P24+P25)&gt;=P28,1,0))),0)</f>
        <v>0</v>
      </c>
      <c r="Q29" s="21">
        <f>IF(SUM($D29:P29)=0,(IF($D$24+$D$25&gt;$E$28, IF((Q24+Q25)&lt;=Q28,1,0),IF((Q24+Q25)&gt;=Q28,1,0))),0)</f>
        <v>0</v>
      </c>
      <c r="R29" s="21">
        <f>IF(SUM($D29:Q29)=0,(IF($D$24+$D$25&gt;$E$28, IF((R24+R25)&lt;=R28,1,0),IF((R24+R25)&gt;=R28,1,0))),0)</f>
        <v>0</v>
      </c>
      <c r="S29" s="21">
        <f>IF(SUM($D29:R29)=0,(IF($D$24+$D$25&gt;$E$28, IF((S24+S25)&lt;=S28,1,0),IF((S24+S25)&gt;=S28,1,0))),0)</f>
        <v>0</v>
      </c>
      <c r="T29" s="21">
        <f>IF(SUM($D29:S29)=0,(IF($D$24+$D$25&gt;$E$28, IF((T24+T25)&lt;=T28,1,0),IF((T24+T25)&gt;=T28,1,0))),0)</f>
        <v>0</v>
      </c>
      <c r="U29" s="21">
        <f>IF(SUM($D29:T29)=0,(IF($D$24+$D$25&gt;$E$28, IF((U24+U25)&lt;=U28,1,0),IF((U24+U25)&gt;=U28,1,0))),0)</f>
        <v>0</v>
      </c>
      <c r="V29" s="21">
        <f>IF(SUM($D29:U29)=0,(IF($D$24+$D$25&gt;$E$28, IF((V24+V25)&lt;=V28,1,0),IF((V24+V25)&gt;=V28,1,0))),0)</f>
        <v>0</v>
      </c>
      <c r="W29" s="21">
        <f>IF(SUM($D29:V29)=0,(IF($D$24+$D$25&gt;$E$28, IF((W24+W25)&lt;=W28,1,0),IF((W24+W25)&gt;=W28,1,0))),0)</f>
        <v>0</v>
      </c>
      <c r="X29" s="21">
        <f>IF(SUM($D29:W29)=0,(IF($D$24+$D$25&gt;$E$28, IF((X24+X25)&lt;=X28,1,0),IF((X24+X25)&gt;=X28,1,0))),0)</f>
        <v>0</v>
      </c>
    </row>
    <row r="30" spans="1:26" ht="16.5">
      <c r="A30" s="5" t="s">
        <v>48</v>
      </c>
      <c r="B30" s="50" t="s">
        <v>49</v>
      </c>
      <c r="C30" s="20" t="s">
        <v>50</v>
      </c>
      <c r="D30" s="60"/>
      <c r="E30" s="10">
        <f>IF(E29=1,E28-(D24+D25),IF(SUM($D29:D29)=1,0,((E24-D24)+(E25-D25))))</f>
        <v>-5402.9343999999992</v>
      </c>
      <c r="F30" s="10">
        <f>IF(F29=1,F28-(E24+E25),IF(SUM($D29:E29)=1,0,((F24-E24)+(F25-E25))))</f>
        <v>-3241.261638095235</v>
      </c>
      <c r="G30" s="10">
        <f>IF(G29=1,G28-(F24+F25),IF(SUM($D29:F29)=1,0,((G24-F24)+(G25-F25))))</f>
        <v>0</v>
      </c>
      <c r="H30" s="10">
        <f>IF(H29=1,H28-(G24+G25),IF(SUM($D29:G29)=1,0,((H24-G24)+(H25-G25))))</f>
        <v>0</v>
      </c>
      <c r="I30" s="10">
        <f>IF(I29=1,I28-(H24+H25),IF(SUM($D29:H29)=1,0,((I24-H24)+(I25-H25))))</f>
        <v>0</v>
      </c>
      <c r="J30" s="10">
        <f>IF(J29=1,J28-(I24+I25),IF(SUM($D29:I29)=1,0,((J24-I24)+(J25-I25))))</f>
        <v>0</v>
      </c>
      <c r="K30" s="10">
        <f>IF(K29=1,K28-(J24+J25),IF(SUM($D29:J29)=1,0,((K24-J24)+(K25-J25))))</f>
        <v>0</v>
      </c>
      <c r="L30" s="10">
        <f>IF(L29=1,L28-(K24+K25),IF(SUM($D29:K29)=1,0,((L24-K24)+(L25-K25))))</f>
        <v>0</v>
      </c>
      <c r="M30" s="10">
        <f>IF(M29=1,M28-(L24+L25),IF(SUM($D29:L29)=1,0,((M24-L24)+(M25-L25))))</f>
        <v>0</v>
      </c>
      <c r="N30" s="10">
        <f>IF(N29=1,N28-(M24+M25),IF(SUM($D29:M29)=1,0,((N24-M24)+(N25-M25))))</f>
        <v>0</v>
      </c>
      <c r="O30" s="10">
        <f>IF(O29=1,O28-(N24+N25),IF(SUM($D29:N29)=1,0,((O24-N24)+(O25-N25))))</f>
        <v>0</v>
      </c>
      <c r="P30" s="10">
        <f>IF(P29=1,P28-(O24+O25),IF(SUM($D29:O29)=1,0,((P24-O24)+(P25-O25))))</f>
        <v>0</v>
      </c>
      <c r="Q30" s="10">
        <f>IF(Q29=1,Q28-(P24+P25),IF(SUM($D29:P29)=1,0,((Q24-P24)+(Q25-P25))))</f>
        <v>0</v>
      </c>
      <c r="R30" s="10">
        <f>IF(R29=1,R28-(Q24+Q25),IF(SUM($D29:Q29)=1,0,((R24-Q24)+(R25-Q25))))</f>
        <v>0</v>
      </c>
      <c r="S30" s="10">
        <f>IF(S29=1,S28-(R24+R25),IF(SUM($D29:R29)=1,0,((S24-R24)+(S25-R25))))</f>
        <v>0</v>
      </c>
      <c r="T30" s="10">
        <f>IF(T29=1,T28-(S24+S25),IF(SUM($D29:S29)=1,0,((T24-S24)+(T25-S25))))</f>
        <v>0</v>
      </c>
      <c r="U30" s="10">
        <f>IF(U29=1,U28-(T24+T25),IF(SUM($D29:T29)=1,0,((U24-T24)+(U25-T25))))</f>
        <v>0</v>
      </c>
      <c r="V30" s="10">
        <f>IF(V29=1,V28-(U24+U25),IF(SUM($D29:U29)=1,0,((V24-U24)+(V25-U25))))</f>
        <v>0</v>
      </c>
      <c r="W30" s="10">
        <f>IF(W29=1,W28-(V24+V25),IF(SUM($D29:V29)=1,0,((W24-V24)+(W25-V25))))</f>
        <v>0</v>
      </c>
      <c r="X30" s="10">
        <f>IF(X29=1,X28-(W24+W25),IF(SUM($D29:W29)=1,0,((X24-W24)+(X25-W25))))</f>
        <v>0</v>
      </c>
    </row>
    <row r="31" spans="1:26">
      <c r="A31" s="5"/>
      <c r="B31" s="49"/>
      <c r="C31" s="29" t="s">
        <v>51</v>
      </c>
      <c r="D31" s="31"/>
      <c r="E31" s="30"/>
      <c r="F31" s="30"/>
      <c r="G31" s="30"/>
      <c r="H31" s="30"/>
      <c r="I31" s="32"/>
      <c r="J31" s="30"/>
      <c r="K31" s="30"/>
      <c r="L31" s="30"/>
      <c r="M31" s="30"/>
      <c r="N31" s="30"/>
      <c r="O31" s="30"/>
      <c r="P31" s="30"/>
      <c r="Q31" s="30"/>
      <c r="R31" s="30"/>
      <c r="S31" s="32"/>
      <c r="T31" s="30"/>
      <c r="U31" s="30"/>
      <c r="V31" s="30"/>
      <c r="W31" s="30"/>
      <c r="X31" s="30"/>
    </row>
    <row r="32" spans="1:26" ht="16.5">
      <c r="A32" s="5">
        <v>14</v>
      </c>
      <c r="B32" s="50" t="s">
        <v>52</v>
      </c>
      <c r="C32" s="31" t="s">
        <v>53</v>
      </c>
      <c r="D32" s="33">
        <v>19425.062399999999</v>
      </c>
      <c r="E32" s="33">
        <v>20138.809600000001</v>
      </c>
      <c r="F32" s="33">
        <v>20826.542400000002</v>
      </c>
      <c r="G32" s="33">
        <v>21490.092799999999</v>
      </c>
      <c r="H32" s="33">
        <v>22296.905600000002</v>
      </c>
      <c r="I32" s="33">
        <v>22992.699199999999</v>
      </c>
      <c r="J32" s="33">
        <v>23599.457600000002</v>
      </c>
      <c r="K32" s="33">
        <v>24309.1744</v>
      </c>
      <c r="L32" s="33">
        <v>24918.131200000003</v>
      </c>
      <c r="M32" s="33">
        <v>25454.907200000001</v>
      </c>
      <c r="N32" s="33">
        <v>25996.446400000001</v>
      </c>
      <c r="O32" s="33">
        <v>26517.833600000002</v>
      </c>
      <c r="P32" s="33">
        <v>27001.848000000002</v>
      </c>
      <c r="Q32" s="33">
        <v>27478.900799999999</v>
      </c>
      <c r="R32" s="33">
        <v>27954.8544</v>
      </c>
      <c r="S32" s="33">
        <v>28371.817600000002</v>
      </c>
      <c r="T32" s="33">
        <v>28793.544000000002</v>
      </c>
      <c r="U32" s="33">
        <v>29192.920000000006</v>
      </c>
      <c r="V32" s="33">
        <v>29585.334400000003</v>
      </c>
      <c r="W32" s="33">
        <v>29944.772799999999</v>
      </c>
      <c r="X32" s="33">
        <v>30321.432000000001</v>
      </c>
      <c r="Z32" s="1"/>
    </row>
    <row r="33" spans="1:26" ht="16.5">
      <c r="A33" s="5">
        <v>15</v>
      </c>
      <c r="B33" s="50" t="s">
        <v>54</v>
      </c>
      <c r="C33" s="31" t="s">
        <v>55</v>
      </c>
      <c r="D33" s="33">
        <v>1514.6976000000002</v>
      </c>
      <c r="E33" s="33">
        <v>1514.6976000000002</v>
      </c>
      <c r="F33" s="33">
        <v>1514.6976000000002</v>
      </c>
      <c r="G33" s="33">
        <v>1514.6976000000002</v>
      </c>
      <c r="H33" s="33">
        <v>1514.6976000000002</v>
      </c>
      <c r="I33" s="33">
        <v>1514.6976000000002</v>
      </c>
      <c r="J33" s="33">
        <v>1514.6976000000002</v>
      </c>
      <c r="K33" s="33">
        <v>1514.6976000000002</v>
      </c>
      <c r="L33" s="33">
        <v>1514.6976000000002</v>
      </c>
      <c r="M33" s="33">
        <v>1514.6976000000002</v>
      </c>
      <c r="N33" s="33">
        <v>1514.6976</v>
      </c>
      <c r="O33" s="33">
        <v>2601.6103900676098</v>
      </c>
      <c r="P33" s="33">
        <v>2601.6103900676098</v>
      </c>
      <c r="Q33" s="33">
        <v>2601.6103900676098</v>
      </c>
      <c r="R33" s="33">
        <v>2601.6103900676098</v>
      </c>
      <c r="S33" s="33">
        <v>2601.6103900676098</v>
      </c>
      <c r="T33" s="33">
        <v>2601.6103900676098</v>
      </c>
      <c r="U33" s="33">
        <v>2601.6103900676098</v>
      </c>
      <c r="V33" s="33">
        <v>2601.6103900676098</v>
      </c>
      <c r="W33" s="33">
        <v>2601.6103900676098</v>
      </c>
      <c r="X33" s="33">
        <v>2601.6103900676098</v>
      </c>
      <c r="Z33" s="1"/>
    </row>
    <row r="34" spans="1:26" ht="16.5">
      <c r="A34" s="5">
        <v>17</v>
      </c>
      <c r="B34" s="50" t="s">
        <v>56</v>
      </c>
      <c r="C34" s="31" t="s">
        <v>57</v>
      </c>
      <c r="D34" s="56"/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Z34" s="1"/>
    </row>
    <row r="35" spans="1:26" ht="16.5">
      <c r="A35" s="5">
        <v>17</v>
      </c>
      <c r="B35" s="51" t="s">
        <v>58</v>
      </c>
      <c r="C35" s="34" t="s">
        <v>59</v>
      </c>
      <c r="D35" s="57"/>
      <c r="E35" s="35">
        <f t="shared" ref="E35:X35" si="5">(E32-D32)+(E33-D33)</f>
        <v>713.74720000000161</v>
      </c>
      <c r="F35" s="35">
        <f t="shared" si="5"/>
        <v>687.73280000000159</v>
      </c>
      <c r="G35" s="35">
        <f t="shared" si="5"/>
        <v>663.55039999999644</v>
      </c>
      <c r="H35" s="35">
        <f t="shared" si="5"/>
        <v>806.81280000000334</v>
      </c>
      <c r="I35" s="35">
        <f t="shared" si="5"/>
        <v>695.79359999999724</v>
      </c>
      <c r="J35" s="35">
        <f t="shared" si="5"/>
        <v>606.75840000000244</v>
      </c>
      <c r="K35" s="35">
        <f t="shared" si="5"/>
        <v>709.71679999999833</v>
      </c>
      <c r="L35" s="35">
        <f t="shared" si="5"/>
        <v>608.95680000000357</v>
      </c>
      <c r="M35" s="35">
        <f t="shared" si="5"/>
        <v>536.77599999999802</v>
      </c>
      <c r="N35" s="35">
        <f t="shared" si="5"/>
        <v>541.53919999999903</v>
      </c>
      <c r="O35" s="35">
        <f t="shared" si="5"/>
        <v>1608.2999900676109</v>
      </c>
      <c r="P35" s="35">
        <f t="shared" si="5"/>
        <v>484.01440000000002</v>
      </c>
      <c r="Q35" s="35">
        <f t="shared" si="5"/>
        <v>477.05279999999766</v>
      </c>
      <c r="R35" s="35">
        <f t="shared" si="5"/>
        <v>475.95360000000073</v>
      </c>
      <c r="S35" s="35">
        <f t="shared" si="5"/>
        <v>416.96320000000196</v>
      </c>
      <c r="T35" s="35">
        <f t="shared" si="5"/>
        <v>421.72639999999956</v>
      </c>
      <c r="U35" s="35">
        <f t="shared" si="5"/>
        <v>399.37600000000384</v>
      </c>
      <c r="V35" s="35">
        <f t="shared" si="5"/>
        <v>392.41439999999784</v>
      </c>
      <c r="W35" s="35">
        <f t="shared" si="5"/>
        <v>359.43839999999545</v>
      </c>
      <c r="X35" s="35">
        <f t="shared" si="5"/>
        <v>376.65920000000187</v>
      </c>
      <c r="Z35" s="1"/>
    </row>
    <row r="36" spans="1:26">
      <c r="A36" s="5"/>
      <c r="B36" s="51"/>
      <c r="C36" s="25" t="s">
        <v>60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6" ht="16.5">
      <c r="A37" s="5">
        <v>13</v>
      </c>
      <c r="B37" s="51" t="s">
        <v>61</v>
      </c>
      <c r="C37" s="27" t="s">
        <v>62</v>
      </c>
      <c r="D37" s="28">
        <f>SQRT((($D$24*$E$13^2)+($D$25*$E$14^2)+($E$27*$E$13^2))/SUM($D$24:$D$25, $E$27))</f>
        <v>0.10087730987989015</v>
      </c>
      <c r="E37" s="28">
        <f t="shared" ref="E37:X37" si="6">SQRT((($D$24*$E$13^2)+($D$25*$E$14^2)+($E$27*$E$13^2))/SUM($D$24:$D$25, $E$27))</f>
        <v>0.10087730987989015</v>
      </c>
      <c r="F37" s="28">
        <f t="shared" si="6"/>
        <v>0.10087730987989015</v>
      </c>
      <c r="G37" s="28">
        <f t="shared" si="6"/>
        <v>0.10087730987989015</v>
      </c>
      <c r="H37" s="28">
        <f t="shared" si="6"/>
        <v>0.10087730987989015</v>
      </c>
      <c r="I37" s="28">
        <f t="shared" si="6"/>
        <v>0.10087730987989015</v>
      </c>
      <c r="J37" s="28">
        <f t="shared" si="6"/>
        <v>0.10087730987989015</v>
      </c>
      <c r="K37" s="28">
        <f t="shared" si="6"/>
        <v>0.10087730987989015</v>
      </c>
      <c r="L37" s="28">
        <f t="shared" si="6"/>
        <v>0.10087730987989015</v>
      </c>
      <c r="M37" s="28">
        <f t="shared" si="6"/>
        <v>0.10087730987989015</v>
      </c>
      <c r="N37" s="28">
        <f t="shared" si="6"/>
        <v>0.10087730987989015</v>
      </c>
      <c r="O37" s="28">
        <f t="shared" si="6"/>
        <v>0.10087730987989015</v>
      </c>
      <c r="P37" s="28">
        <f t="shared" si="6"/>
        <v>0.10087730987989015</v>
      </c>
      <c r="Q37" s="28">
        <f t="shared" si="6"/>
        <v>0.10087730987989015</v>
      </c>
      <c r="R37" s="28">
        <f t="shared" si="6"/>
        <v>0.10087730987989015</v>
      </c>
      <c r="S37" s="28">
        <f t="shared" si="6"/>
        <v>0.10087730987989015</v>
      </c>
      <c r="T37" s="28">
        <f t="shared" si="6"/>
        <v>0.10087730987989015</v>
      </c>
      <c r="U37" s="28">
        <f t="shared" si="6"/>
        <v>0.10087730987989015</v>
      </c>
      <c r="V37" s="28">
        <f t="shared" si="6"/>
        <v>0.10087730987989015</v>
      </c>
      <c r="W37" s="28">
        <f t="shared" si="6"/>
        <v>0.10087730987989015</v>
      </c>
      <c r="X37" s="28">
        <f t="shared" si="6"/>
        <v>0.10087730987989015</v>
      </c>
    </row>
    <row r="38" spans="1:26" ht="16.5">
      <c r="A38" s="5">
        <v>21</v>
      </c>
      <c r="B38" s="51" t="s">
        <v>63</v>
      </c>
      <c r="C38" s="27" t="s">
        <v>64</v>
      </c>
      <c r="D38" s="28">
        <f>SQRT(((D$32*$E$13^2)+(D$33*$E$14^2)+(D$34*$E$13^2))/SUM(D$32:D$34))</f>
        <v>0.10107765783488372</v>
      </c>
      <c r="E38" s="28">
        <f>SQRT(((E$32*$E$13^2)+(E$33*$E$14^2)+(E$34*$E$13^2))/SUM(E$32:E$34))</f>
        <v>0.10020700088734709</v>
      </c>
      <c r="F38" s="28">
        <f t="shared" ref="F38:N38" si="7">SQRT(((F$32*$E$13^2)+(F$33*$E$14^2)+(F$34*$E$13^2))/SUM(F$32:F$34))</f>
        <v>9.9414151063791312E-2</v>
      </c>
      <c r="G38" s="28">
        <f t="shared" si="7"/>
        <v>9.8688594722890544E-2</v>
      </c>
      <c r="H38" s="28">
        <f t="shared" si="7"/>
        <v>9.7854295574747202E-2</v>
      </c>
      <c r="I38" s="28">
        <f t="shared" si="7"/>
        <v>9.7173665702614084E-2</v>
      </c>
      <c r="J38" s="28">
        <f t="shared" si="7"/>
        <v>9.6607293125829094E-2</v>
      </c>
      <c r="K38" s="28">
        <f t="shared" si="7"/>
        <v>9.5974673281362347E-2</v>
      </c>
      <c r="L38" s="28">
        <f t="shared" si="7"/>
        <v>9.5455845071100387E-2</v>
      </c>
      <c r="M38" s="28">
        <f t="shared" si="7"/>
        <v>9.5015738403580144E-2</v>
      </c>
      <c r="N38" s="28">
        <f t="shared" si="7"/>
        <v>9.4587175144438179E-2</v>
      </c>
      <c r="O38" s="28">
        <f>SQRT(((O$32*$S$13^2)+(O$33*$S$14^2)+(O$34*$S$13^2))/SUM(O$32:O$34))</f>
        <v>0.11001160823720409</v>
      </c>
      <c r="P38" s="28">
        <f t="shared" ref="P38:X38" si="8">SQRT(((P$32*$S$13^2)+(P$33*$S$14^2)+(P$34*$S$13^2))/SUM(P$32:P$34))</f>
        <v>0.10971377525122417</v>
      </c>
      <c r="Q38" s="28">
        <f t="shared" si="8"/>
        <v>0.1094288491727476</v>
      </c>
      <c r="R38" s="28">
        <f t="shared" si="8"/>
        <v>0.10915273862836657</v>
      </c>
      <c r="S38" s="28">
        <f t="shared" si="8"/>
        <v>0.10891727183259797</v>
      </c>
      <c r="T38" s="28">
        <f t="shared" si="8"/>
        <v>0.10868497901547396</v>
      </c>
      <c r="U38" s="28">
        <f t="shared" si="8"/>
        <v>0.10847023704600117</v>
      </c>
      <c r="V38" s="28">
        <f t="shared" si="8"/>
        <v>0.10826402907035339</v>
      </c>
      <c r="W38" s="28">
        <f t="shared" si="8"/>
        <v>0.1080791792680838</v>
      </c>
      <c r="X38" s="28">
        <f t="shared" si="8"/>
        <v>0.10788947572866719</v>
      </c>
    </row>
    <row r="39" spans="1:26" ht="16.5">
      <c r="A39" s="5">
        <v>22</v>
      </c>
      <c r="B39" s="51" t="s">
        <v>65</v>
      </c>
      <c r="C39" s="27" t="s">
        <v>66</v>
      </c>
      <c r="D39" s="58"/>
      <c r="E39" s="28">
        <f>SQRT((((ABS(E$30)+E27)*E$37^2)+((ABS(E$35)+E34)*E$38^2))/((ABS(E$30)+E27)+(ABS(E$35)+E34)))</f>
        <v>0.10080131791907536</v>
      </c>
      <c r="F39" s="28">
        <f t="shared" ref="F39:X39" si="9">SQRT((((ABS(F$30)+F27)*F$37^2)+((ABS(F$35)+F34)*F$38^2))/((ABS(F$30)+F27)+(ABS(F$35)+F34)))</f>
        <v>0.1006327422523981</v>
      </c>
      <c r="G39" s="28">
        <f t="shared" si="9"/>
        <v>9.9118848938725482E-2</v>
      </c>
      <c r="H39" s="28">
        <f t="shared" si="9"/>
        <v>9.8362520612658627E-2</v>
      </c>
      <c r="I39" s="28">
        <f t="shared" si="9"/>
        <v>9.7878812563547468E-2</v>
      </c>
      <c r="J39" s="28">
        <f t="shared" si="9"/>
        <v>9.7516338683914683E-2</v>
      </c>
      <c r="K39" s="28">
        <f t="shared" si="9"/>
        <v>9.6897923985861473E-2</v>
      </c>
      <c r="L39" s="28">
        <f t="shared" si="9"/>
        <v>9.6612260318807416E-2</v>
      </c>
      <c r="M39" s="28">
        <f t="shared" si="9"/>
        <v>9.6397063249741108E-2</v>
      </c>
      <c r="N39" s="28">
        <f t="shared" si="9"/>
        <v>9.6062100522783481E-2</v>
      </c>
      <c r="O39" s="28">
        <f t="shared" si="9"/>
        <v>0.1092139311599923</v>
      </c>
      <c r="P39" s="28">
        <f t="shared" si="9"/>
        <v>0.10758037504181717</v>
      </c>
      <c r="Q39" s="28">
        <f t="shared" si="9"/>
        <v>0.10733946556840065</v>
      </c>
      <c r="R39" s="28">
        <f t="shared" si="9"/>
        <v>0.10712539984931503</v>
      </c>
      <c r="S39" s="28">
        <f t="shared" si="9"/>
        <v>0.10674265478812756</v>
      </c>
      <c r="T39" s="28">
        <f t="shared" si="9"/>
        <v>0.10658903437109186</v>
      </c>
      <c r="U39" s="28">
        <f t="shared" si="9"/>
        <v>0.10634826324208713</v>
      </c>
      <c r="V39" s="28">
        <f t="shared" si="9"/>
        <v>0.10617203028436403</v>
      </c>
      <c r="W39" s="28">
        <f t="shared" si="9"/>
        <v>0.10590755783968193</v>
      </c>
      <c r="X39" s="28">
        <f t="shared" si="9"/>
        <v>0.10584225139110043</v>
      </c>
    </row>
    <row r="40" spans="1:26">
      <c r="A40" s="5"/>
      <c r="B40" s="51"/>
      <c r="C40" s="27" t="s">
        <v>67</v>
      </c>
      <c r="D40" s="59"/>
      <c r="E40" s="28">
        <f>IF(E39&lt;=10%,0%,E39-10%)</f>
        <v>8.0131791907535332E-4</v>
      </c>
      <c r="F40" s="28">
        <f t="shared" ref="F40:X40" si="10">IF(F39&lt;=10%,0%,F39-10%)</f>
        <v>6.3274225239809412E-4</v>
      </c>
      <c r="G40" s="28">
        <f t="shared" si="10"/>
        <v>0</v>
      </c>
      <c r="H40" s="28">
        <f t="shared" si="10"/>
        <v>0</v>
      </c>
      <c r="I40" s="28">
        <f t="shared" si="10"/>
        <v>0</v>
      </c>
      <c r="J40" s="28">
        <f t="shared" si="10"/>
        <v>0</v>
      </c>
      <c r="K40" s="28">
        <f t="shared" si="10"/>
        <v>0</v>
      </c>
      <c r="L40" s="28">
        <f t="shared" si="10"/>
        <v>0</v>
      </c>
      <c r="M40" s="28">
        <f t="shared" si="10"/>
        <v>0</v>
      </c>
      <c r="N40" s="28">
        <f t="shared" si="10"/>
        <v>0</v>
      </c>
      <c r="O40" s="28">
        <f t="shared" si="10"/>
        <v>9.2139311599922918E-3</v>
      </c>
      <c r="P40" s="28">
        <f t="shared" si="10"/>
        <v>7.5803750418171612E-3</v>
      </c>
      <c r="Q40" s="28">
        <f t="shared" si="10"/>
        <v>7.3394655684006493E-3</v>
      </c>
      <c r="R40" s="28">
        <f t="shared" si="10"/>
        <v>7.1253998493150256E-3</v>
      </c>
      <c r="S40" s="28">
        <f t="shared" si="10"/>
        <v>6.74265478812755E-3</v>
      </c>
      <c r="T40" s="28">
        <f t="shared" si="10"/>
        <v>6.5890343710918592E-3</v>
      </c>
      <c r="U40" s="28">
        <f t="shared" si="10"/>
        <v>6.348263242087121E-3</v>
      </c>
      <c r="V40" s="28">
        <f t="shared" si="10"/>
        <v>6.1720302843640273E-3</v>
      </c>
      <c r="W40" s="28">
        <f t="shared" si="10"/>
        <v>5.9075578396819289E-3</v>
      </c>
      <c r="X40" s="28">
        <f t="shared" si="10"/>
        <v>5.8422513911004226E-3</v>
      </c>
    </row>
    <row r="41" spans="1:26">
      <c r="A41" s="3"/>
      <c r="B41" s="49"/>
      <c r="C41" s="22" t="s">
        <v>68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1:26" ht="16.5">
      <c r="A42" s="5">
        <v>24</v>
      </c>
      <c r="B42" s="49" t="s">
        <v>69</v>
      </c>
      <c r="C42" s="24" t="s">
        <v>70</v>
      </c>
      <c r="D42" s="61"/>
      <c r="E42" s="37">
        <f>ROUNDDOWN(((E$35-E$30)+(E34-E27))*(1-$E$15)*(1-E40),0)</f>
        <v>4165</v>
      </c>
      <c r="F42" s="37">
        <f t="shared" ref="F42:X42" si="11">ROUNDDOWN(((F$35-F$30)+(F34-F27))*(1-$E$15)*(1-F40),0)</f>
        <v>2636</v>
      </c>
      <c r="G42" s="37">
        <f t="shared" si="11"/>
        <v>352</v>
      </c>
      <c r="H42" s="37">
        <f t="shared" si="11"/>
        <v>452</v>
      </c>
      <c r="I42" s="37">
        <f t="shared" si="11"/>
        <v>374</v>
      </c>
      <c r="J42" s="37">
        <f t="shared" si="11"/>
        <v>312</v>
      </c>
      <c r="K42" s="37">
        <f t="shared" si="11"/>
        <v>384</v>
      </c>
      <c r="L42" s="37">
        <f t="shared" si="11"/>
        <v>313</v>
      </c>
      <c r="M42" s="37">
        <f t="shared" si="11"/>
        <v>263</v>
      </c>
      <c r="N42" s="37">
        <f t="shared" si="11"/>
        <v>266</v>
      </c>
      <c r="O42" s="37">
        <f t="shared" si="11"/>
        <v>1004</v>
      </c>
      <c r="P42" s="37">
        <f t="shared" si="11"/>
        <v>224</v>
      </c>
      <c r="Q42" s="37">
        <f t="shared" si="11"/>
        <v>219</v>
      </c>
      <c r="R42" s="37">
        <f t="shared" si="11"/>
        <v>219</v>
      </c>
      <c r="S42" s="37">
        <f t="shared" si="11"/>
        <v>178</v>
      </c>
      <c r="T42" s="37">
        <f t="shared" si="11"/>
        <v>181</v>
      </c>
      <c r="U42" s="37">
        <f t="shared" si="11"/>
        <v>166</v>
      </c>
      <c r="V42" s="37">
        <f t="shared" si="11"/>
        <v>161</v>
      </c>
      <c r="W42" s="37">
        <f t="shared" si="11"/>
        <v>138</v>
      </c>
      <c r="X42" s="37">
        <f t="shared" si="11"/>
        <v>150</v>
      </c>
    </row>
    <row r="43" spans="1:26" ht="16.5">
      <c r="A43" s="5">
        <v>24</v>
      </c>
      <c r="B43" s="49" t="s">
        <v>71</v>
      </c>
      <c r="C43" s="24" t="s">
        <v>72</v>
      </c>
      <c r="D43" s="61"/>
      <c r="E43" s="37">
        <f>IF(E42&lt;0,0,IF(E42+D56&lt;0,0,E42+D56))</f>
        <v>4165</v>
      </c>
      <c r="F43" s="37">
        <f t="shared" ref="F43:X43" si="12">IF(F42&lt;0,0,IF(F42+E56&lt;0,0,F42+E56))</f>
        <v>2636</v>
      </c>
      <c r="G43" s="37">
        <f t="shared" si="12"/>
        <v>352</v>
      </c>
      <c r="H43" s="37">
        <f t="shared" si="12"/>
        <v>452</v>
      </c>
      <c r="I43" s="37">
        <f t="shared" si="12"/>
        <v>374</v>
      </c>
      <c r="J43" s="37">
        <f t="shared" si="12"/>
        <v>312</v>
      </c>
      <c r="K43" s="37">
        <f t="shared" si="12"/>
        <v>384</v>
      </c>
      <c r="L43" s="37">
        <f t="shared" si="12"/>
        <v>313</v>
      </c>
      <c r="M43" s="37">
        <f t="shared" si="12"/>
        <v>263</v>
      </c>
      <c r="N43" s="37">
        <f t="shared" si="12"/>
        <v>266</v>
      </c>
      <c r="O43" s="37">
        <f t="shared" si="12"/>
        <v>1004</v>
      </c>
      <c r="P43" s="37">
        <f t="shared" si="12"/>
        <v>224</v>
      </c>
      <c r="Q43" s="37">
        <f t="shared" si="12"/>
        <v>219</v>
      </c>
      <c r="R43" s="37">
        <f t="shared" si="12"/>
        <v>219</v>
      </c>
      <c r="S43" s="37">
        <f t="shared" si="12"/>
        <v>178</v>
      </c>
      <c r="T43" s="37">
        <f t="shared" si="12"/>
        <v>181</v>
      </c>
      <c r="U43" s="37">
        <f t="shared" si="12"/>
        <v>166</v>
      </c>
      <c r="V43" s="37">
        <f t="shared" si="12"/>
        <v>161</v>
      </c>
      <c r="W43" s="37">
        <f t="shared" si="12"/>
        <v>138</v>
      </c>
      <c r="X43" s="37">
        <f t="shared" si="12"/>
        <v>150</v>
      </c>
    </row>
    <row r="44" spans="1:26" ht="16.5">
      <c r="A44" s="5">
        <v>25</v>
      </c>
      <c r="B44" s="49" t="s">
        <v>73</v>
      </c>
      <c r="C44" s="24" t="s">
        <v>74</v>
      </c>
      <c r="D44" s="61"/>
      <c r="E44" s="37">
        <f>ROUNDUP(E43*$E$16,0)</f>
        <v>625</v>
      </c>
      <c r="F44" s="37">
        <f t="shared" ref="F44:X44" si="13">ROUNDUP(F43*$E$16,0)</f>
        <v>396</v>
      </c>
      <c r="G44" s="37">
        <f t="shared" si="13"/>
        <v>53</v>
      </c>
      <c r="H44" s="37">
        <f t="shared" si="13"/>
        <v>68</v>
      </c>
      <c r="I44" s="37">
        <f t="shared" si="13"/>
        <v>57</v>
      </c>
      <c r="J44" s="37">
        <f t="shared" si="13"/>
        <v>47</v>
      </c>
      <c r="K44" s="37">
        <f t="shared" si="13"/>
        <v>58</v>
      </c>
      <c r="L44" s="37">
        <f t="shared" si="13"/>
        <v>47</v>
      </c>
      <c r="M44" s="37">
        <f t="shared" si="13"/>
        <v>40</v>
      </c>
      <c r="N44" s="37">
        <f t="shared" si="13"/>
        <v>40</v>
      </c>
      <c r="O44" s="37">
        <f t="shared" si="13"/>
        <v>151</v>
      </c>
      <c r="P44" s="37">
        <f t="shared" si="13"/>
        <v>34</v>
      </c>
      <c r="Q44" s="37">
        <f t="shared" si="13"/>
        <v>33</v>
      </c>
      <c r="R44" s="37">
        <f t="shared" si="13"/>
        <v>33</v>
      </c>
      <c r="S44" s="37">
        <f t="shared" si="13"/>
        <v>27</v>
      </c>
      <c r="T44" s="37">
        <f t="shared" si="13"/>
        <v>28</v>
      </c>
      <c r="U44" s="37">
        <f t="shared" si="13"/>
        <v>25</v>
      </c>
      <c r="V44" s="37">
        <f t="shared" si="13"/>
        <v>25</v>
      </c>
      <c r="W44" s="37">
        <f t="shared" si="13"/>
        <v>21</v>
      </c>
      <c r="X44" s="37">
        <f t="shared" si="13"/>
        <v>23</v>
      </c>
    </row>
    <row r="45" spans="1:26" ht="16.5">
      <c r="A45" s="5">
        <v>26</v>
      </c>
      <c r="B45" s="49" t="s">
        <v>75</v>
      </c>
      <c r="C45" s="24" t="s">
        <v>76</v>
      </c>
      <c r="D45" s="62"/>
      <c r="E45" s="37">
        <f>E43-E44</f>
        <v>3540</v>
      </c>
      <c r="F45" s="37">
        <f t="shared" ref="F45:X45" si="14">F43-F44</f>
        <v>2240</v>
      </c>
      <c r="G45" s="37">
        <f t="shared" si="14"/>
        <v>299</v>
      </c>
      <c r="H45" s="37">
        <f t="shared" si="14"/>
        <v>384</v>
      </c>
      <c r="I45" s="37">
        <f t="shared" si="14"/>
        <v>317</v>
      </c>
      <c r="J45" s="37">
        <f t="shared" si="14"/>
        <v>265</v>
      </c>
      <c r="K45" s="37">
        <f t="shared" si="14"/>
        <v>326</v>
      </c>
      <c r="L45" s="37">
        <f t="shared" si="14"/>
        <v>266</v>
      </c>
      <c r="M45" s="37">
        <f t="shared" si="14"/>
        <v>223</v>
      </c>
      <c r="N45" s="37">
        <f t="shared" si="14"/>
        <v>226</v>
      </c>
      <c r="O45" s="37">
        <f t="shared" si="14"/>
        <v>853</v>
      </c>
      <c r="P45" s="37">
        <f t="shared" si="14"/>
        <v>190</v>
      </c>
      <c r="Q45" s="37">
        <f t="shared" si="14"/>
        <v>186</v>
      </c>
      <c r="R45" s="37">
        <f t="shared" si="14"/>
        <v>186</v>
      </c>
      <c r="S45" s="37">
        <f t="shared" si="14"/>
        <v>151</v>
      </c>
      <c r="T45" s="37">
        <f t="shared" si="14"/>
        <v>153</v>
      </c>
      <c r="U45" s="37">
        <f t="shared" si="14"/>
        <v>141</v>
      </c>
      <c r="V45" s="37">
        <f t="shared" si="14"/>
        <v>136</v>
      </c>
      <c r="W45" s="37">
        <f t="shared" si="14"/>
        <v>117</v>
      </c>
      <c r="X45" s="37">
        <f t="shared" si="14"/>
        <v>127</v>
      </c>
    </row>
    <row r="46" spans="1:26" ht="16.5">
      <c r="A46" s="5">
        <v>27</v>
      </c>
      <c r="B46" s="49" t="s">
        <v>77</v>
      </c>
      <c r="C46" s="24" t="s">
        <v>78</v>
      </c>
      <c r="D46" s="62"/>
      <c r="E46" s="37">
        <f t="shared" ref="E46:X46" si="15">ROUND(E$43*((DATE(YEAR(E$22),1,1)-DATE(YEAR(D$22),MONTH($E$17),DAY($E$17)))/(365+IF(MOD(YEAR(D$22),4),0,1))),0)</f>
        <v>1229</v>
      </c>
      <c r="F46" s="37">
        <f t="shared" si="15"/>
        <v>780</v>
      </c>
      <c r="G46" s="37">
        <f t="shared" si="15"/>
        <v>104</v>
      </c>
      <c r="H46" s="37">
        <f t="shared" si="15"/>
        <v>134</v>
      </c>
      <c r="I46" s="37">
        <f t="shared" si="15"/>
        <v>110</v>
      </c>
      <c r="J46" s="37">
        <f t="shared" si="15"/>
        <v>92</v>
      </c>
      <c r="K46" s="37">
        <f t="shared" si="15"/>
        <v>114</v>
      </c>
      <c r="L46" s="37">
        <f t="shared" si="15"/>
        <v>93</v>
      </c>
      <c r="M46" s="37">
        <f t="shared" si="15"/>
        <v>78</v>
      </c>
      <c r="N46" s="37">
        <f t="shared" si="15"/>
        <v>79</v>
      </c>
      <c r="O46" s="37">
        <f t="shared" si="15"/>
        <v>297</v>
      </c>
      <c r="P46" s="37">
        <f t="shared" si="15"/>
        <v>66</v>
      </c>
      <c r="Q46" s="37">
        <f t="shared" si="15"/>
        <v>65</v>
      </c>
      <c r="R46" s="37">
        <f t="shared" si="15"/>
        <v>65</v>
      </c>
      <c r="S46" s="37">
        <f t="shared" si="15"/>
        <v>53</v>
      </c>
      <c r="T46" s="37">
        <f t="shared" si="15"/>
        <v>54</v>
      </c>
      <c r="U46" s="37">
        <f t="shared" si="15"/>
        <v>49</v>
      </c>
      <c r="V46" s="37">
        <f t="shared" si="15"/>
        <v>48</v>
      </c>
      <c r="W46" s="37">
        <f t="shared" si="15"/>
        <v>41</v>
      </c>
      <c r="X46" s="37">
        <f t="shared" si="15"/>
        <v>44</v>
      </c>
    </row>
    <row r="47" spans="1:26" ht="16.5">
      <c r="A47" s="5">
        <v>27</v>
      </c>
      <c r="B47" s="49" t="s">
        <v>77</v>
      </c>
      <c r="C47" s="24" t="s">
        <v>79</v>
      </c>
      <c r="D47" s="62"/>
      <c r="E47" s="37">
        <f t="shared" ref="E47:X47" si="16">ROUND(E$43*((DATE(YEAR(D$22),MONTH($E$17),DAY($E$17))-(DATE(YEAR(D$22),1,1)))/(365+IF(MOD(YEAR(D$22),4),0,1))),0)</f>
        <v>2936</v>
      </c>
      <c r="F47" s="37">
        <f t="shared" si="16"/>
        <v>1856</v>
      </c>
      <c r="G47" s="37">
        <f t="shared" si="16"/>
        <v>248</v>
      </c>
      <c r="H47" s="37">
        <f t="shared" si="16"/>
        <v>318</v>
      </c>
      <c r="I47" s="37">
        <f t="shared" si="16"/>
        <v>264</v>
      </c>
      <c r="J47" s="37">
        <f t="shared" si="16"/>
        <v>220</v>
      </c>
      <c r="K47" s="37">
        <f t="shared" si="16"/>
        <v>270</v>
      </c>
      <c r="L47" s="37">
        <f t="shared" si="16"/>
        <v>220</v>
      </c>
      <c r="M47" s="37">
        <f t="shared" si="16"/>
        <v>185</v>
      </c>
      <c r="N47" s="37">
        <f t="shared" si="16"/>
        <v>187</v>
      </c>
      <c r="O47" s="37">
        <f t="shared" si="16"/>
        <v>707</v>
      </c>
      <c r="P47" s="37">
        <f t="shared" si="16"/>
        <v>158</v>
      </c>
      <c r="Q47" s="37">
        <f t="shared" si="16"/>
        <v>154</v>
      </c>
      <c r="R47" s="37">
        <f t="shared" si="16"/>
        <v>154</v>
      </c>
      <c r="S47" s="37">
        <f t="shared" si="16"/>
        <v>125</v>
      </c>
      <c r="T47" s="37">
        <f t="shared" si="16"/>
        <v>127</v>
      </c>
      <c r="U47" s="37">
        <f t="shared" si="16"/>
        <v>117</v>
      </c>
      <c r="V47" s="37">
        <f t="shared" si="16"/>
        <v>113</v>
      </c>
      <c r="W47" s="37">
        <f t="shared" si="16"/>
        <v>97</v>
      </c>
      <c r="X47" s="37">
        <f t="shared" si="16"/>
        <v>106</v>
      </c>
    </row>
    <row r="48" spans="1:26" ht="16.5">
      <c r="A48" s="5">
        <v>28</v>
      </c>
      <c r="B48" s="49" t="s">
        <v>80</v>
      </c>
      <c r="C48" s="24" t="s">
        <v>81</v>
      </c>
      <c r="D48" s="62"/>
      <c r="E48" s="37">
        <f>IF(E$43&gt;0,ROUND((E46/E$43)*E$44,0),0)</f>
        <v>184</v>
      </c>
      <c r="F48" s="37">
        <f t="shared" ref="F48:X49" si="17">IF(F$43&gt;0,ROUND((F46/F$43)*F$44,0),0)</f>
        <v>117</v>
      </c>
      <c r="G48" s="37">
        <f t="shared" si="17"/>
        <v>16</v>
      </c>
      <c r="H48" s="37">
        <f t="shared" si="17"/>
        <v>20</v>
      </c>
      <c r="I48" s="37">
        <f t="shared" si="17"/>
        <v>17</v>
      </c>
      <c r="J48" s="37">
        <f t="shared" si="17"/>
        <v>14</v>
      </c>
      <c r="K48" s="37">
        <f t="shared" si="17"/>
        <v>17</v>
      </c>
      <c r="L48" s="37">
        <f t="shared" si="17"/>
        <v>14</v>
      </c>
      <c r="M48" s="37">
        <f t="shared" si="17"/>
        <v>12</v>
      </c>
      <c r="N48" s="37">
        <f t="shared" si="17"/>
        <v>12</v>
      </c>
      <c r="O48" s="37">
        <f t="shared" si="17"/>
        <v>45</v>
      </c>
      <c r="P48" s="37">
        <f t="shared" si="17"/>
        <v>10</v>
      </c>
      <c r="Q48" s="37">
        <f t="shared" si="17"/>
        <v>10</v>
      </c>
      <c r="R48" s="37">
        <f t="shared" si="17"/>
        <v>10</v>
      </c>
      <c r="S48" s="37">
        <f t="shared" si="17"/>
        <v>8</v>
      </c>
      <c r="T48" s="37">
        <f t="shared" si="17"/>
        <v>8</v>
      </c>
      <c r="U48" s="37">
        <f t="shared" si="17"/>
        <v>7</v>
      </c>
      <c r="V48" s="37">
        <f t="shared" si="17"/>
        <v>7</v>
      </c>
      <c r="W48" s="37">
        <f t="shared" si="17"/>
        <v>6</v>
      </c>
      <c r="X48" s="37">
        <f t="shared" si="17"/>
        <v>7</v>
      </c>
    </row>
    <row r="49" spans="1:24" ht="16.5">
      <c r="A49" s="5">
        <v>28</v>
      </c>
      <c r="B49" s="49" t="s">
        <v>80</v>
      </c>
      <c r="C49" s="24" t="s">
        <v>82</v>
      </c>
      <c r="D49" s="61"/>
      <c r="E49" s="37">
        <f>IF(E$43&gt;0,ROUND((E47/E$43)*E$44,0),0)</f>
        <v>441</v>
      </c>
      <c r="F49" s="37">
        <f t="shared" si="17"/>
        <v>279</v>
      </c>
      <c r="G49" s="37">
        <f t="shared" si="17"/>
        <v>37</v>
      </c>
      <c r="H49" s="37">
        <f t="shared" si="17"/>
        <v>48</v>
      </c>
      <c r="I49" s="37">
        <f t="shared" si="17"/>
        <v>40</v>
      </c>
      <c r="J49" s="37">
        <f t="shared" si="17"/>
        <v>33</v>
      </c>
      <c r="K49" s="37">
        <f t="shared" si="17"/>
        <v>41</v>
      </c>
      <c r="L49" s="37">
        <f t="shared" si="17"/>
        <v>33</v>
      </c>
      <c r="M49" s="37">
        <f t="shared" si="17"/>
        <v>28</v>
      </c>
      <c r="N49" s="37">
        <f t="shared" si="17"/>
        <v>28</v>
      </c>
      <c r="O49" s="37">
        <f t="shared" si="17"/>
        <v>106</v>
      </c>
      <c r="P49" s="37">
        <f t="shared" si="17"/>
        <v>24</v>
      </c>
      <c r="Q49" s="37">
        <f t="shared" si="17"/>
        <v>23</v>
      </c>
      <c r="R49" s="37">
        <f t="shared" si="17"/>
        <v>23</v>
      </c>
      <c r="S49" s="37">
        <f t="shared" si="17"/>
        <v>19</v>
      </c>
      <c r="T49" s="37">
        <f t="shared" si="17"/>
        <v>20</v>
      </c>
      <c r="U49" s="37">
        <f t="shared" si="17"/>
        <v>18</v>
      </c>
      <c r="V49" s="37">
        <f t="shared" si="17"/>
        <v>18</v>
      </c>
      <c r="W49" s="37">
        <f t="shared" si="17"/>
        <v>15</v>
      </c>
      <c r="X49" s="37">
        <f t="shared" si="17"/>
        <v>16</v>
      </c>
    </row>
    <row r="50" spans="1:24" ht="16.5">
      <c r="A50" s="5">
        <v>29</v>
      </c>
      <c r="B50" s="49" t="s">
        <v>83</v>
      </c>
      <c r="C50" s="24" t="s">
        <v>84</v>
      </c>
      <c r="D50" s="62"/>
      <c r="E50" s="37">
        <f>E46-E48</f>
        <v>1045</v>
      </c>
      <c r="F50" s="37">
        <f t="shared" ref="F50:X51" si="18">F46-F48</f>
        <v>663</v>
      </c>
      <c r="G50" s="37">
        <f t="shared" si="18"/>
        <v>88</v>
      </c>
      <c r="H50" s="37">
        <f t="shared" si="18"/>
        <v>114</v>
      </c>
      <c r="I50" s="37">
        <f t="shared" si="18"/>
        <v>93</v>
      </c>
      <c r="J50" s="37">
        <f t="shared" si="18"/>
        <v>78</v>
      </c>
      <c r="K50" s="37">
        <f t="shared" si="18"/>
        <v>97</v>
      </c>
      <c r="L50" s="37">
        <f t="shared" si="18"/>
        <v>79</v>
      </c>
      <c r="M50" s="37">
        <f t="shared" si="18"/>
        <v>66</v>
      </c>
      <c r="N50" s="37">
        <f t="shared" si="18"/>
        <v>67</v>
      </c>
      <c r="O50" s="37">
        <f t="shared" si="18"/>
        <v>252</v>
      </c>
      <c r="P50" s="37">
        <f t="shared" si="18"/>
        <v>56</v>
      </c>
      <c r="Q50" s="37">
        <f t="shared" si="18"/>
        <v>55</v>
      </c>
      <c r="R50" s="37">
        <f t="shared" si="18"/>
        <v>55</v>
      </c>
      <c r="S50" s="37">
        <f t="shared" si="18"/>
        <v>45</v>
      </c>
      <c r="T50" s="37">
        <f t="shared" si="18"/>
        <v>46</v>
      </c>
      <c r="U50" s="37">
        <f t="shared" si="18"/>
        <v>42</v>
      </c>
      <c r="V50" s="37">
        <f t="shared" si="18"/>
        <v>41</v>
      </c>
      <c r="W50" s="37">
        <f t="shared" si="18"/>
        <v>35</v>
      </c>
      <c r="X50" s="37">
        <f t="shared" si="18"/>
        <v>37</v>
      </c>
    </row>
    <row r="51" spans="1:24" ht="16.5">
      <c r="A51" s="5">
        <v>29</v>
      </c>
      <c r="B51" s="49" t="s">
        <v>83</v>
      </c>
      <c r="C51" s="24" t="s">
        <v>85</v>
      </c>
      <c r="D51" s="62"/>
      <c r="E51" s="37">
        <f>E47-E49</f>
        <v>2495</v>
      </c>
      <c r="F51" s="37">
        <f t="shared" si="18"/>
        <v>1577</v>
      </c>
      <c r="G51" s="37">
        <f t="shared" si="18"/>
        <v>211</v>
      </c>
      <c r="H51" s="37">
        <f t="shared" si="18"/>
        <v>270</v>
      </c>
      <c r="I51" s="37">
        <f t="shared" si="18"/>
        <v>224</v>
      </c>
      <c r="J51" s="37">
        <f t="shared" si="18"/>
        <v>187</v>
      </c>
      <c r="K51" s="37">
        <f t="shared" si="18"/>
        <v>229</v>
      </c>
      <c r="L51" s="37">
        <f t="shared" si="18"/>
        <v>187</v>
      </c>
      <c r="M51" s="37">
        <f t="shared" si="18"/>
        <v>157</v>
      </c>
      <c r="N51" s="37">
        <f t="shared" si="18"/>
        <v>159</v>
      </c>
      <c r="O51" s="37">
        <f t="shared" si="18"/>
        <v>601</v>
      </c>
      <c r="P51" s="37">
        <f t="shared" si="18"/>
        <v>134</v>
      </c>
      <c r="Q51" s="37">
        <f t="shared" si="18"/>
        <v>131</v>
      </c>
      <c r="R51" s="37">
        <f t="shared" si="18"/>
        <v>131</v>
      </c>
      <c r="S51" s="37">
        <f t="shared" si="18"/>
        <v>106</v>
      </c>
      <c r="T51" s="37">
        <f t="shared" si="18"/>
        <v>107</v>
      </c>
      <c r="U51" s="37">
        <f t="shared" si="18"/>
        <v>99</v>
      </c>
      <c r="V51" s="37">
        <f t="shared" si="18"/>
        <v>95</v>
      </c>
      <c r="W51" s="37">
        <f t="shared" si="18"/>
        <v>82</v>
      </c>
      <c r="X51" s="37">
        <f t="shared" si="18"/>
        <v>90</v>
      </c>
    </row>
    <row r="52" spans="1:24">
      <c r="A52" s="5"/>
      <c r="B52" s="49"/>
      <c r="C52" s="24" t="s">
        <v>86</v>
      </c>
      <c r="D52" s="61"/>
      <c r="E52" s="37">
        <f>D$52+E$43</f>
        <v>4165</v>
      </c>
      <c r="F52" s="37">
        <f t="shared" ref="F52:X52" si="19">E$52+F$43</f>
        <v>6801</v>
      </c>
      <c r="G52" s="37">
        <f t="shared" si="19"/>
        <v>7153</v>
      </c>
      <c r="H52" s="37">
        <f t="shared" si="19"/>
        <v>7605</v>
      </c>
      <c r="I52" s="37">
        <f t="shared" si="19"/>
        <v>7979</v>
      </c>
      <c r="J52" s="37">
        <f t="shared" si="19"/>
        <v>8291</v>
      </c>
      <c r="K52" s="37">
        <f t="shared" si="19"/>
        <v>8675</v>
      </c>
      <c r="L52" s="37">
        <f t="shared" si="19"/>
        <v>8988</v>
      </c>
      <c r="M52" s="37">
        <f t="shared" si="19"/>
        <v>9251</v>
      </c>
      <c r="N52" s="37">
        <f t="shared" si="19"/>
        <v>9517</v>
      </c>
      <c r="O52" s="37">
        <f t="shared" si="19"/>
        <v>10521</v>
      </c>
      <c r="P52" s="37">
        <f t="shared" si="19"/>
        <v>10745</v>
      </c>
      <c r="Q52" s="37">
        <f t="shared" si="19"/>
        <v>10964</v>
      </c>
      <c r="R52" s="37">
        <f t="shared" si="19"/>
        <v>11183</v>
      </c>
      <c r="S52" s="37">
        <f t="shared" si="19"/>
        <v>11361</v>
      </c>
      <c r="T52" s="37">
        <f t="shared" si="19"/>
        <v>11542</v>
      </c>
      <c r="U52" s="37">
        <f t="shared" si="19"/>
        <v>11708</v>
      </c>
      <c r="V52" s="37">
        <f t="shared" si="19"/>
        <v>11869</v>
      </c>
      <c r="W52" s="37">
        <f t="shared" si="19"/>
        <v>12007</v>
      </c>
      <c r="X52" s="37">
        <f t="shared" si="19"/>
        <v>12157</v>
      </c>
    </row>
    <row r="53" spans="1:24">
      <c r="A53" s="5"/>
      <c r="B53" s="49"/>
      <c r="C53" s="24" t="s">
        <v>87</v>
      </c>
      <c r="D53" s="61"/>
      <c r="E53" s="37">
        <f t="shared" ref="E53:X53" si="20">D$53+E$44</f>
        <v>625</v>
      </c>
      <c r="F53" s="37">
        <f t="shared" si="20"/>
        <v>1021</v>
      </c>
      <c r="G53" s="37">
        <f t="shared" si="20"/>
        <v>1074</v>
      </c>
      <c r="H53" s="37">
        <f t="shared" si="20"/>
        <v>1142</v>
      </c>
      <c r="I53" s="37">
        <f t="shared" si="20"/>
        <v>1199</v>
      </c>
      <c r="J53" s="37">
        <f t="shared" si="20"/>
        <v>1246</v>
      </c>
      <c r="K53" s="37">
        <f t="shared" si="20"/>
        <v>1304</v>
      </c>
      <c r="L53" s="37">
        <f t="shared" si="20"/>
        <v>1351</v>
      </c>
      <c r="M53" s="37">
        <f t="shared" si="20"/>
        <v>1391</v>
      </c>
      <c r="N53" s="37">
        <f t="shared" si="20"/>
        <v>1431</v>
      </c>
      <c r="O53" s="37">
        <f t="shared" si="20"/>
        <v>1582</v>
      </c>
      <c r="P53" s="37">
        <f t="shared" si="20"/>
        <v>1616</v>
      </c>
      <c r="Q53" s="37">
        <f t="shared" si="20"/>
        <v>1649</v>
      </c>
      <c r="R53" s="37">
        <f t="shared" si="20"/>
        <v>1682</v>
      </c>
      <c r="S53" s="37">
        <f t="shared" si="20"/>
        <v>1709</v>
      </c>
      <c r="T53" s="37">
        <f t="shared" si="20"/>
        <v>1737</v>
      </c>
      <c r="U53" s="37">
        <f t="shared" si="20"/>
        <v>1762</v>
      </c>
      <c r="V53" s="37">
        <f t="shared" si="20"/>
        <v>1787</v>
      </c>
      <c r="W53" s="37">
        <f t="shared" si="20"/>
        <v>1808</v>
      </c>
      <c r="X53" s="37">
        <f t="shared" si="20"/>
        <v>1831</v>
      </c>
    </row>
    <row r="54" spans="1:24">
      <c r="A54" s="5"/>
      <c r="B54" s="49"/>
      <c r="C54" s="24" t="s">
        <v>88</v>
      </c>
      <c r="D54" s="63"/>
      <c r="E54" s="37">
        <f>D$54+E$45</f>
        <v>3540</v>
      </c>
      <c r="F54" s="37">
        <f t="shared" ref="F54:X54" si="21">E$54+F$45</f>
        <v>5780</v>
      </c>
      <c r="G54" s="37">
        <f t="shared" si="21"/>
        <v>6079</v>
      </c>
      <c r="H54" s="37">
        <f t="shared" si="21"/>
        <v>6463</v>
      </c>
      <c r="I54" s="37">
        <f t="shared" si="21"/>
        <v>6780</v>
      </c>
      <c r="J54" s="37">
        <f t="shared" si="21"/>
        <v>7045</v>
      </c>
      <c r="K54" s="37">
        <f t="shared" si="21"/>
        <v>7371</v>
      </c>
      <c r="L54" s="37">
        <f t="shared" si="21"/>
        <v>7637</v>
      </c>
      <c r="M54" s="37">
        <f t="shared" si="21"/>
        <v>7860</v>
      </c>
      <c r="N54" s="37">
        <f t="shared" si="21"/>
        <v>8086</v>
      </c>
      <c r="O54" s="37">
        <f t="shared" si="21"/>
        <v>8939</v>
      </c>
      <c r="P54" s="37">
        <f t="shared" si="21"/>
        <v>9129</v>
      </c>
      <c r="Q54" s="37">
        <f t="shared" si="21"/>
        <v>9315</v>
      </c>
      <c r="R54" s="37">
        <f t="shared" si="21"/>
        <v>9501</v>
      </c>
      <c r="S54" s="37">
        <f t="shared" si="21"/>
        <v>9652</v>
      </c>
      <c r="T54" s="37">
        <f t="shared" si="21"/>
        <v>9805</v>
      </c>
      <c r="U54" s="37">
        <f t="shared" si="21"/>
        <v>9946</v>
      </c>
      <c r="V54" s="37">
        <f t="shared" si="21"/>
        <v>10082</v>
      </c>
      <c r="W54" s="37">
        <f t="shared" si="21"/>
        <v>10199</v>
      </c>
      <c r="X54" s="37">
        <f t="shared" si="21"/>
        <v>10326</v>
      </c>
    </row>
    <row r="55" spans="1:24">
      <c r="A55" s="5"/>
      <c r="B55" s="49"/>
      <c r="C55" s="39" t="s">
        <v>89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</row>
    <row r="56" spans="1:24">
      <c r="A56" s="5"/>
      <c r="B56" s="49"/>
      <c r="C56" s="41" t="s">
        <v>90</v>
      </c>
      <c r="D56" s="64"/>
      <c r="E56" s="42">
        <f>IF($E$42&gt;=0, 0, $E$42)</f>
        <v>0</v>
      </c>
      <c r="F56" s="42">
        <f>IF(AND(COUNTIF($E56:E56,0)=0,F42+E56&lt;0),F42+E56,0)</f>
        <v>0</v>
      </c>
      <c r="G56" s="42">
        <f>IF(AND(COUNTIF($E56:F56,0)=0,G42+F56&lt;0),G42+F56,0)</f>
        <v>0</v>
      </c>
      <c r="H56" s="42">
        <f>IF(AND(COUNTIF($E56:G56,0)=0,H42+G56&lt;0),H42+G56,0)</f>
        <v>0</v>
      </c>
      <c r="I56" s="42">
        <f>IF(AND(COUNTIF($E56:H56,0)=0,I42+H56&lt;0),I42+H56,0)</f>
        <v>0</v>
      </c>
      <c r="J56" s="42">
        <f>IF(AND(COUNTIF($E56:I56,0)=0,J42+I56&lt;0),J42+I56,0)</f>
        <v>0</v>
      </c>
      <c r="K56" s="42">
        <f>IF(AND(COUNTIF($E56:J56,0)=0,K42+J56&lt;0),K42+J56,0)</f>
        <v>0</v>
      </c>
      <c r="L56" s="42">
        <f>IF(AND(COUNTIF($E56:K56,0)=0,L42+K56&lt;0),L42+K56,0)</f>
        <v>0</v>
      </c>
      <c r="M56" s="42">
        <f>IF(AND(COUNTIF($E56:L56,0)=0,M42+L56&lt;0),M42+L56,0)</f>
        <v>0</v>
      </c>
      <c r="N56" s="42">
        <f>IF(AND(COUNTIF($E56:M56,0)=0,N42+M56&lt;0),N42+M56,0)</f>
        <v>0</v>
      </c>
      <c r="O56" s="42">
        <f>IF(AND(COUNTIF($E56:N56,0)=0,O42+N56&lt;0),O42+N56,0)</f>
        <v>0</v>
      </c>
      <c r="P56" s="42">
        <f>IF(AND(COUNTIF($E56:O56,0)=0,P42+O56&lt;0),P42+O56,0)</f>
        <v>0</v>
      </c>
      <c r="Q56" s="42">
        <f>IF(AND(COUNTIF($E56:P56,0)=0,Q42+P56&lt;0),Q42+P56,0)</f>
        <v>0</v>
      </c>
      <c r="R56" s="42">
        <f>IF(AND(COUNTIF($E56:Q56,0)=0,R42+Q56&lt;0),R42+Q56,0)</f>
        <v>0</v>
      </c>
      <c r="S56" s="42">
        <f>IF(AND(COUNTIF($E56:R56,0)=0,S42+R56&lt;0),S42+R56,0)</f>
        <v>0</v>
      </c>
      <c r="T56" s="42">
        <f>IF(AND(COUNTIF($E56:S56,0)=0,T42+S56&lt;0),T42+S56,0)</f>
        <v>0</v>
      </c>
      <c r="U56" s="42">
        <f>IF(AND(COUNTIF($E56:T56,0)=0,U42+T56&lt;0),U42+T56,0)</f>
        <v>0</v>
      </c>
      <c r="V56" s="42">
        <f>IF(AND(COUNTIF($E56:U56,0)=0,V42+U56&lt;0),V42+U56,0)</f>
        <v>0</v>
      </c>
      <c r="W56" s="42">
        <f>IF(AND(COUNTIF($E56:V56,0)=0,W42+V56&lt;0),W42+V56,0)</f>
        <v>0</v>
      </c>
      <c r="X56" s="42">
        <f>IF(AND(COUNTIF($E56:W56,0)=0,X42+W56&lt;0),X42+W56,0)</f>
        <v>0</v>
      </c>
    </row>
    <row r="57" spans="1:24">
      <c r="A57" s="5"/>
      <c r="B57" s="49"/>
      <c r="C57" s="41" t="s">
        <v>91</v>
      </c>
      <c r="D57" s="64"/>
      <c r="E57" s="42">
        <f>IF(E42&lt;0,IF(E56=0,E42,0),0)</f>
        <v>0</v>
      </c>
      <c r="F57" s="42">
        <f t="shared" ref="F57:X57" si="22">IF(F42&lt;0,IF(F56=0,F42,0),0)</f>
        <v>0</v>
      </c>
      <c r="G57" s="42">
        <f t="shared" si="22"/>
        <v>0</v>
      </c>
      <c r="H57" s="42">
        <f t="shared" si="22"/>
        <v>0</v>
      </c>
      <c r="I57" s="42">
        <f t="shared" si="22"/>
        <v>0</v>
      </c>
      <c r="J57" s="42">
        <f t="shared" si="22"/>
        <v>0</v>
      </c>
      <c r="K57" s="42">
        <f t="shared" si="22"/>
        <v>0</v>
      </c>
      <c r="L57" s="42">
        <f t="shared" si="22"/>
        <v>0</v>
      </c>
      <c r="M57" s="42">
        <f t="shared" si="22"/>
        <v>0</v>
      </c>
      <c r="N57" s="42">
        <f t="shared" si="22"/>
        <v>0</v>
      </c>
      <c r="O57" s="42">
        <f t="shared" si="22"/>
        <v>0</v>
      </c>
      <c r="P57" s="42">
        <f t="shared" si="22"/>
        <v>0</v>
      </c>
      <c r="Q57" s="42">
        <f t="shared" si="22"/>
        <v>0</v>
      </c>
      <c r="R57" s="42">
        <f t="shared" si="22"/>
        <v>0</v>
      </c>
      <c r="S57" s="42">
        <f t="shared" si="22"/>
        <v>0</v>
      </c>
      <c r="T57" s="42">
        <f t="shared" si="22"/>
        <v>0</v>
      </c>
      <c r="U57" s="42">
        <f t="shared" si="22"/>
        <v>0</v>
      </c>
      <c r="V57" s="42">
        <f t="shared" si="22"/>
        <v>0</v>
      </c>
      <c r="W57" s="42">
        <f t="shared" si="22"/>
        <v>0</v>
      </c>
      <c r="X57" s="42">
        <f t="shared" si="22"/>
        <v>0</v>
      </c>
    </row>
    <row r="58" spans="1:24">
      <c r="A58" s="5"/>
      <c r="B58" s="49"/>
      <c r="C58" s="43" t="s">
        <v>92</v>
      </c>
      <c r="D58" s="65"/>
      <c r="E58" s="44">
        <f>D$58+E$57</f>
        <v>0</v>
      </c>
      <c r="F58" s="44">
        <f t="shared" ref="F58:X58" si="23">E$58+F$57</f>
        <v>0</v>
      </c>
      <c r="G58" s="44">
        <f t="shared" si="23"/>
        <v>0</v>
      </c>
      <c r="H58" s="44">
        <f t="shared" si="23"/>
        <v>0</v>
      </c>
      <c r="I58" s="44">
        <f t="shared" si="23"/>
        <v>0</v>
      </c>
      <c r="J58" s="44">
        <f t="shared" si="23"/>
        <v>0</v>
      </c>
      <c r="K58" s="44">
        <f t="shared" si="23"/>
        <v>0</v>
      </c>
      <c r="L58" s="44">
        <f t="shared" si="23"/>
        <v>0</v>
      </c>
      <c r="M58" s="44">
        <f t="shared" si="23"/>
        <v>0</v>
      </c>
      <c r="N58" s="44">
        <f t="shared" si="23"/>
        <v>0</v>
      </c>
      <c r="O58" s="44">
        <f t="shared" si="23"/>
        <v>0</v>
      </c>
      <c r="P58" s="44">
        <f t="shared" si="23"/>
        <v>0</v>
      </c>
      <c r="Q58" s="44">
        <f t="shared" si="23"/>
        <v>0</v>
      </c>
      <c r="R58" s="44">
        <f t="shared" si="23"/>
        <v>0</v>
      </c>
      <c r="S58" s="44">
        <f t="shared" si="23"/>
        <v>0</v>
      </c>
      <c r="T58" s="44">
        <f t="shared" si="23"/>
        <v>0</v>
      </c>
      <c r="U58" s="44">
        <f t="shared" si="23"/>
        <v>0</v>
      </c>
      <c r="V58" s="44">
        <f t="shared" si="23"/>
        <v>0</v>
      </c>
      <c r="W58" s="44">
        <f t="shared" si="23"/>
        <v>0</v>
      </c>
      <c r="X58" s="44">
        <f t="shared" si="23"/>
        <v>0</v>
      </c>
    </row>
    <row r="59" spans="1:24">
      <c r="A59" s="5"/>
      <c r="B59" s="49"/>
      <c r="C59" s="66" t="s">
        <v>93</v>
      </c>
      <c r="D59" s="67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</row>
    <row r="60" spans="1:24">
      <c r="A60" s="5"/>
      <c r="B60" s="49"/>
      <c r="C60" s="69" t="s">
        <v>94</v>
      </c>
      <c r="D60" s="70"/>
      <c r="E60" s="68">
        <f t="shared" ref="E60:X60" si="24">IF(E42&lt;0,0,ROUNDDOWN((E35+(E34-E27))*(1-$E$15)*(1-E40),0))</f>
        <v>386</v>
      </c>
      <c r="F60" s="68">
        <f t="shared" si="24"/>
        <v>368</v>
      </c>
      <c r="G60" s="68">
        <f t="shared" si="24"/>
        <v>352</v>
      </c>
      <c r="H60" s="68">
        <f t="shared" si="24"/>
        <v>452</v>
      </c>
      <c r="I60" s="68">
        <f t="shared" si="24"/>
        <v>374</v>
      </c>
      <c r="J60" s="68">
        <f t="shared" si="24"/>
        <v>312</v>
      </c>
      <c r="K60" s="68">
        <f t="shared" si="24"/>
        <v>384</v>
      </c>
      <c r="L60" s="68">
        <f t="shared" si="24"/>
        <v>313</v>
      </c>
      <c r="M60" s="68">
        <f t="shared" si="24"/>
        <v>263</v>
      </c>
      <c r="N60" s="68">
        <f t="shared" si="24"/>
        <v>266</v>
      </c>
      <c r="O60" s="68">
        <f t="shared" si="24"/>
        <v>1004</v>
      </c>
      <c r="P60" s="68">
        <f t="shared" si="24"/>
        <v>224</v>
      </c>
      <c r="Q60" s="68">
        <f t="shared" si="24"/>
        <v>219</v>
      </c>
      <c r="R60" s="68">
        <f t="shared" si="24"/>
        <v>219</v>
      </c>
      <c r="S60" s="68">
        <f t="shared" si="24"/>
        <v>178</v>
      </c>
      <c r="T60" s="68">
        <f t="shared" si="24"/>
        <v>181</v>
      </c>
      <c r="U60" s="68">
        <f t="shared" si="24"/>
        <v>166</v>
      </c>
      <c r="V60" s="68">
        <f t="shared" si="24"/>
        <v>161</v>
      </c>
      <c r="W60" s="68">
        <f t="shared" si="24"/>
        <v>138</v>
      </c>
      <c r="X60" s="68">
        <f t="shared" si="24"/>
        <v>150</v>
      </c>
    </row>
    <row r="61" spans="1:24">
      <c r="A61" s="5"/>
      <c r="B61" s="49"/>
      <c r="C61" s="69" t="s">
        <v>95</v>
      </c>
      <c r="D61" s="70"/>
      <c r="E61" s="68">
        <f>IF(E42&lt;0,0,E42-E60)</f>
        <v>3779</v>
      </c>
      <c r="F61" s="68">
        <f t="shared" ref="F61:X61" si="25">IF(F42&lt;0,0,F42-F60)</f>
        <v>2268</v>
      </c>
      <c r="G61" s="68">
        <f t="shared" si="25"/>
        <v>0</v>
      </c>
      <c r="H61" s="68">
        <f t="shared" si="25"/>
        <v>0</v>
      </c>
      <c r="I61" s="68">
        <f t="shared" si="25"/>
        <v>0</v>
      </c>
      <c r="J61" s="68">
        <f t="shared" si="25"/>
        <v>0</v>
      </c>
      <c r="K61" s="68">
        <f t="shared" si="25"/>
        <v>0</v>
      </c>
      <c r="L61" s="68">
        <f t="shared" si="25"/>
        <v>0</v>
      </c>
      <c r="M61" s="68">
        <f t="shared" si="25"/>
        <v>0</v>
      </c>
      <c r="N61" s="68">
        <f t="shared" si="25"/>
        <v>0</v>
      </c>
      <c r="O61" s="68">
        <f t="shared" si="25"/>
        <v>0</v>
      </c>
      <c r="P61" s="68">
        <f t="shared" si="25"/>
        <v>0</v>
      </c>
      <c r="Q61" s="68">
        <f t="shared" si="25"/>
        <v>0</v>
      </c>
      <c r="R61" s="68">
        <f t="shared" si="25"/>
        <v>0</v>
      </c>
      <c r="S61" s="68">
        <f t="shared" si="25"/>
        <v>0</v>
      </c>
      <c r="T61" s="68">
        <f t="shared" si="25"/>
        <v>0</v>
      </c>
      <c r="U61" s="68">
        <f t="shared" si="25"/>
        <v>0</v>
      </c>
      <c r="V61" s="68">
        <f t="shared" si="25"/>
        <v>0</v>
      </c>
      <c r="W61" s="68">
        <f t="shared" si="25"/>
        <v>0</v>
      </c>
      <c r="X61" s="68">
        <f t="shared" si="25"/>
        <v>0</v>
      </c>
    </row>
    <row r="62" spans="1:24" ht="16.5">
      <c r="A62" s="5"/>
      <c r="B62" s="49"/>
      <c r="C62" s="69" t="s">
        <v>96</v>
      </c>
      <c r="D62" s="70"/>
      <c r="E62" s="68">
        <f t="shared" ref="E62:X62" si="26">ROUND(E$60*((DATE(YEAR(E$22),1,1)-DATE(YEAR(D$22),MONTH($E$17),DAY($E$17)))/(365+IF(MOD(YEAR(D$22),4),0,1))),0)</f>
        <v>114</v>
      </c>
      <c r="F62" s="68">
        <f t="shared" si="26"/>
        <v>109</v>
      </c>
      <c r="G62" s="68">
        <f t="shared" si="26"/>
        <v>104</v>
      </c>
      <c r="H62" s="68">
        <f t="shared" si="26"/>
        <v>134</v>
      </c>
      <c r="I62" s="68">
        <f t="shared" si="26"/>
        <v>110</v>
      </c>
      <c r="J62" s="68">
        <f t="shared" si="26"/>
        <v>92</v>
      </c>
      <c r="K62" s="68">
        <f t="shared" si="26"/>
        <v>114</v>
      </c>
      <c r="L62" s="68">
        <f t="shared" si="26"/>
        <v>93</v>
      </c>
      <c r="M62" s="68">
        <f t="shared" si="26"/>
        <v>78</v>
      </c>
      <c r="N62" s="68">
        <f t="shared" si="26"/>
        <v>79</v>
      </c>
      <c r="O62" s="68">
        <f t="shared" si="26"/>
        <v>297</v>
      </c>
      <c r="P62" s="68">
        <f t="shared" si="26"/>
        <v>66</v>
      </c>
      <c r="Q62" s="68">
        <f t="shared" si="26"/>
        <v>65</v>
      </c>
      <c r="R62" s="68">
        <f t="shared" si="26"/>
        <v>65</v>
      </c>
      <c r="S62" s="68">
        <f t="shared" si="26"/>
        <v>53</v>
      </c>
      <c r="T62" s="68">
        <f t="shared" si="26"/>
        <v>54</v>
      </c>
      <c r="U62" s="68">
        <f t="shared" si="26"/>
        <v>49</v>
      </c>
      <c r="V62" s="68">
        <f t="shared" si="26"/>
        <v>48</v>
      </c>
      <c r="W62" s="68">
        <f t="shared" si="26"/>
        <v>41</v>
      </c>
      <c r="X62" s="68">
        <f t="shared" si="26"/>
        <v>44</v>
      </c>
    </row>
    <row r="63" spans="1:24" ht="16.5">
      <c r="A63" s="5"/>
      <c r="B63" s="49"/>
      <c r="C63" s="69" t="s">
        <v>97</v>
      </c>
      <c r="D63" s="70"/>
      <c r="E63" s="68">
        <f t="shared" ref="E63:X63" si="27">ROUND(E$60*((DATE(YEAR(D$22),MONTH($E$17),DAY($E$17))-(DATE(YEAR(D$22),1,1)))/(365+IF(MOD(YEAR(D$22),4),0,1))),0)</f>
        <v>272</v>
      </c>
      <c r="F63" s="68">
        <f t="shared" si="27"/>
        <v>259</v>
      </c>
      <c r="G63" s="68">
        <f t="shared" si="27"/>
        <v>248</v>
      </c>
      <c r="H63" s="68">
        <f t="shared" si="27"/>
        <v>318</v>
      </c>
      <c r="I63" s="68">
        <f t="shared" si="27"/>
        <v>264</v>
      </c>
      <c r="J63" s="68">
        <f t="shared" si="27"/>
        <v>220</v>
      </c>
      <c r="K63" s="68">
        <f t="shared" si="27"/>
        <v>270</v>
      </c>
      <c r="L63" s="68">
        <f t="shared" si="27"/>
        <v>220</v>
      </c>
      <c r="M63" s="68">
        <f t="shared" si="27"/>
        <v>185</v>
      </c>
      <c r="N63" s="68">
        <f t="shared" si="27"/>
        <v>187</v>
      </c>
      <c r="O63" s="68">
        <f t="shared" si="27"/>
        <v>707</v>
      </c>
      <c r="P63" s="68">
        <f t="shared" si="27"/>
        <v>158</v>
      </c>
      <c r="Q63" s="68">
        <f t="shared" si="27"/>
        <v>154</v>
      </c>
      <c r="R63" s="68">
        <f t="shared" si="27"/>
        <v>154</v>
      </c>
      <c r="S63" s="68">
        <f t="shared" si="27"/>
        <v>125</v>
      </c>
      <c r="T63" s="68">
        <f t="shared" si="27"/>
        <v>127</v>
      </c>
      <c r="U63" s="68">
        <f t="shared" si="27"/>
        <v>117</v>
      </c>
      <c r="V63" s="68">
        <f t="shared" si="27"/>
        <v>113</v>
      </c>
      <c r="W63" s="68">
        <f t="shared" si="27"/>
        <v>97</v>
      </c>
      <c r="X63" s="68">
        <f t="shared" si="27"/>
        <v>106</v>
      </c>
    </row>
    <row r="64" spans="1:24" ht="16.5">
      <c r="A64" s="5"/>
      <c r="B64" s="49"/>
      <c r="C64" s="69" t="s">
        <v>98</v>
      </c>
      <c r="D64" s="70"/>
      <c r="E64" s="68">
        <f>E46-E62</f>
        <v>1115</v>
      </c>
      <c r="F64" s="68">
        <f t="shared" ref="F64:X64" si="28">F46-F62</f>
        <v>671</v>
      </c>
      <c r="G64" s="68">
        <f t="shared" si="28"/>
        <v>0</v>
      </c>
      <c r="H64" s="68">
        <f t="shared" si="28"/>
        <v>0</v>
      </c>
      <c r="I64" s="68">
        <f t="shared" si="28"/>
        <v>0</v>
      </c>
      <c r="J64" s="68">
        <f t="shared" si="28"/>
        <v>0</v>
      </c>
      <c r="K64" s="68">
        <f t="shared" si="28"/>
        <v>0</v>
      </c>
      <c r="L64" s="68">
        <f t="shared" si="28"/>
        <v>0</v>
      </c>
      <c r="M64" s="68">
        <f t="shared" si="28"/>
        <v>0</v>
      </c>
      <c r="N64" s="68">
        <f t="shared" si="28"/>
        <v>0</v>
      </c>
      <c r="O64" s="68">
        <f t="shared" si="28"/>
        <v>0</v>
      </c>
      <c r="P64" s="68">
        <f t="shared" si="28"/>
        <v>0</v>
      </c>
      <c r="Q64" s="68">
        <f t="shared" si="28"/>
        <v>0</v>
      </c>
      <c r="R64" s="68">
        <f t="shared" si="28"/>
        <v>0</v>
      </c>
      <c r="S64" s="68">
        <f t="shared" si="28"/>
        <v>0</v>
      </c>
      <c r="T64" s="68">
        <f t="shared" si="28"/>
        <v>0</v>
      </c>
      <c r="U64" s="68">
        <f t="shared" si="28"/>
        <v>0</v>
      </c>
      <c r="V64" s="68">
        <f t="shared" si="28"/>
        <v>0</v>
      </c>
      <c r="W64" s="68">
        <f t="shared" si="28"/>
        <v>0</v>
      </c>
      <c r="X64" s="68">
        <f t="shared" si="28"/>
        <v>0</v>
      </c>
    </row>
    <row r="65" spans="1:24" ht="16.5">
      <c r="A65" s="5"/>
      <c r="B65" s="49"/>
      <c r="C65" s="69" t="s">
        <v>99</v>
      </c>
      <c r="D65" s="70"/>
      <c r="E65" s="68">
        <f>E47-E63</f>
        <v>2664</v>
      </c>
      <c r="F65" s="68">
        <f t="shared" ref="F65:X65" si="29">F47-F63</f>
        <v>1597</v>
      </c>
      <c r="G65" s="68">
        <f t="shared" si="29"/>
        <v>0</v>
      </c>
      <c r="H65" s="68">
        <f t="shared" si="29"/>
        <v>0</v>
      </c>
      <c r="I65" s="68">
        <f t="shared" si="29"/>
        <v>0</v>
      </c>
      <c r="J65" s="68">
        <f t="shared" si="29"/>
        <v>0</v>
      </c>
      <c r="K65" s="68">
        <f t="shared" si="29"/>
        <v>0</v>
      </c>
      <c r="L65" s="68">
        <f t="shared" si="29"/>
        <v>0</v>
      </c>
      <c r="M65" s="68">
        <f t="shared" si="29"/>
        <v>0</v>
      </c>
      <c r="N65" s="68">
        <f t="shared" si="29"/>
        <v>0</v>
      </c>
      <c r="O65" s="68">
        <f t="shared" si="29"/>
        <v>0</v>
      </c>
      <c r="P65" s="68">
        <f t="shared" si="29"/>
        <v>0</v>
      </c>
      <c r="Q65" s="68">
        <f t="shared" si="29"/>
        <v>0</v>
      </c>
      <c r="R65" s="68">
        <f t="shared" si="29"/>
        <v>0</v>
      </c>
      <c r="S65" s="68">
        <f t="shared" si="29"/>
        <v>0</v>
      </c>
      <c r="T65" s="68">
        <f t="shared" si="29"/>
        <v>0</v>
      </c>
      <c r="U65" s="68">
        <f t="shared" si="29"/>
        <v>0</v>
      </c>
      <c r="V65" s="68">
        <f t="shared" si="29"/>
        <v>0</v>
      </c>
      <c r="W65" s="68">
        <f t="shared" si="29"/>
        <v>0</v>
      </c>
      <c r="X65" s="68">
        <f t="shared" si="29"/>
        <v>0</v>
      </c>
    </row>
    <row r="66" spans="1:24">
      <c r="A66" s="5"/>
      <c r="B66" s="46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</row>
    <row r="67" spans="1:24">
      <c r="A67" s="5"/>
      <c r="B67" s="46"/>
      <c r="C67" s="3" t="s">
        <v>100</v>
      </c>
      <c r="D67" s="38">
        <f>D24+D25</f>
        <v>20939.759999999998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</row>
    <row r="68" spans="1:24">
      <c r="A68" s="5"/>
      <c r="B68" s="46"/>
      <c r="C68" s="3" t="s">
        <v>101</v>
      </c>
      <c r="D68" s="38">
        <f t="shared" ref="D68:X68" si="30">D24+D25</f>
        <v>20939.759999999998</v>
      </c>
      <c r="E68" s="38">
        <f t="shared" si="30"/>
        <v>15536.8256</v>
      </c>
      <c r="F68" s="38">
        <f t="shared" si="30"/>
        <v>10801.472000000002</v>
      </c>
      <c r="G68" s="38">
        <f t="shared" si="30"/>
        <v>11392.475199999999</v>
      </c>
      <c r="H68" s="38">
        <f t="shared" si="30"/>
        <v>12145.793600000001</v>
      </c>
      <c r="I68" s="38">
        <f t="shared" si="30"/>
        <v>12795.4208</v>
      </c>
      <c r="J68" s="38">
        <f t="shared" si="30"/>
        <v>13386.424000000001</v>
      </c>
      <c r="K68" s="38">
        <f t="shared" si="30"/>
        <v>14081.851199999999</v>
      </c>
      <c r="L68" s="38">
        <f t="shared" si="30"/>
        <v>11973.951999999999</v>
      </c>
      <c r="M68" s="38">
        <f t="shared" si="30"/>
        <v>12481.416000000001</v>
      </c>
      <c r="N68" s="38">
        <f t="shared" si="30"/>
        <v>12999.871999999998</v>
      </c>
      <c r="O68" s="38">
        <f t="shared" si="30"/>
        <v>10535.465600000001</v>
      </c>
      <c r="P68" s="38">
        <f t="shared" si="30"/>
        <v>11117.308799999999</v>
      </c>
      <c r="Q68" s="38">
        <f t="shared" si="30"/>
        <v>11771.3328</v>
      </c>
      <c r="R68" s="38">
        <f t="shared" si="30"/>
        <v>8851.8576000000012</v>
      </c>
      <c r="S68" s="38">
        <f t="shared" si="30"/>
        <v>9496.7216000000008</v>
      </c>
      <c r="T68" s="38">
        <f t="shared" si="30"/>
        <v>10157.340799999998</v>
      </c>
      <c r="U68" s="38">
        <f t="shared" si="30"/>
        <v>11228.328</v>
      </c>
      <c r="V68" s="38">
        <f t="shared" si="30"/>
        <v>12418.7616</v>
      </c>
      <c r="W68" s="38">
        <f t="shared" si="30"/>
        <v>13305.083199999999</v>
      </c>
      <c r="X68" s="38">
        <f t="shared" si="30"/>
        <v>10789.380800000001</v>
      </c>
    </row>
    <row r="69" spans="1:24">
      <c r="A69" s="5"/>
      <c r="B69" s="46"/>
      <c r="C69" s="3" t="s">
        <v>102</v>
      </c>
      <c r="D69" s="38">
        <f>IF(SUM($D29:D29)=1,D28,D24+D25)</f>
        <v>20939.759999999998</v>
      </c>
      <c r="E69" s="38">
        <f>IF(SUM($D29:E29)=1,E28,E24+E25)</f>
        <v>15536.8256</v>
      </c>
      <c r="F69" s="38">
        <f>IF(SUM($D29:F29)=1,F28,F24+F25)</f>
        <v>12295.563961904765</v>
      </c>
      <c r="G69" s="38">
        <f>IF(SUM($D29:G29)=1,G28,G24+G25)</f>
        <v>12295.563961904765</v>
      </c>
      <c r="H69" s="38">
        <f>IF(SUM($D29:H29)=1,H28,H24+H25)</f>
        <v>12295.563961904765</v>
      </c>
      <c r="I69" s="38">
        <f>IF(SUM($D29:I29)=1,I28,I24+I25)</f>
        <v>12295.563961904765</v>
      </c>
      <c r="J69" s="38">
        <f>IF(SUM($D29:J29)=1,J28,J24+J25)</f>
        <v>12295.563961904765</v>
      </c>
      <c r="K69" s="38">
        <f>IF(SUM($D29:K29)=1,K28,K24+K25)</f>
        <v>12295.563961904765</v>
      </c>
      <c r="L69" s="38">
        <f>IF(SUM($D29:L29)=1,L28,L24+L25)</f>
        <v>12295.563961904765</v>
      </c>
      <c r="M69" s="38">
        <f>IF(SUM($D29:M29)=1,M28,M24+M25)</f>
        <v>12295.563961904765</v>
      </c>
      <c r="N69" s="38">
        <f>IF(SUM($D29:N29)=1,N28,N24+N25)</f>
        <v>12295.563961904765</v>
      </c>
      <c r="O69" s="38">
        <f>IF(SUM($D29:O29)=1,O28,O24+O25)</f>
        <v>12295.563961904765</v>
      </c>
      <c r="P69" s="38">
        <f>IF(SUM($D29:P29)=1,P28,P24+P25)</f>
        <v>12295.563961904765</v>
      </c>
      <c r="Q69" s="38">
        <f>IF(SUM($D29:Q29)=1,Q28,Q24+Q25)</f>
        <v>12295.563961904765</v>
      </c>
      <c r="R69" s="38">
        <f>IF(SUM($D29:R29)=1,R28,R24+R25)</f>
        <v>12295.563961904765</v>
      </c>
      <c r="S69" s="38">
        <f>IF(SUM($D29:S29)=1,S28,S24+S25)</f>
        <v>12295.563961904765</v>
      </c>
      <c r="T69" s="38">
        <f>IF(SUM($D29:T29)=1,T28,T24+T25)</f>
        <v>12295.563961904765</v>
      </c>
      <c r="U69" s="38">
        <f>IF(SUM($D29:U29)=1,U28,U24+U25)</f>
        <v>12295.563961904765</v>
      </c>
      <c r="V69" s="38">
        <f>IF(SUM($D29:V29)=1,V28,V24+V25)</f>
        <v>12295.563961904765</v>
      </c>
      <c r="W69" s="38">
        <f>IF(SUM($D29:W29)=1,W28,W24+W25)</f>
        <v>12295.563961904765</v>
      </c>
      <c r="X69" s="38">
        <f>IF(SUM($D29:X29)=1,X28,X24+X25)</f>
        <v>12295.563961904765</v>
      </c>
    </row>
    <row r="70" spans="1:24">
      <c r="A70" s="5"/>
      <c r="B70" s="46"/>
      <c r="C70" s="3" t="s">
        <v>103</v>
      </c>
      <c r="D70" s="38">
        <f t="shared" ref="D70:X70" si="31">D32+D33</f>
        <v>20939.759999999998</v>
      </c>
      <c r="E70" s="38">
        <f t="shared" si="31"/>
        <v>21653.5072</v>
      </c>
      <c r="F70" s="38">
        <f t="shared" si="31"/>
        <v>22341.24</v>
      </c>
      <c r="G70" s="38">
        <f t="shared" si="31"/>
        <v>23004.790399999998</v>
      </c>
      <c r="H70" s="38">
        <f t="shared" si="31"/>
        <v>23811.603200000001</v>
      </c>
      <c r="I70" s="38">
        <f t="shared" si="31"/>
        <v>24507.396799999999</v>
      </c>
      <c r="J70" s="38">
        <f t="shared" si="31"/>
        <v>25114.155200000001</v>
      </c>
      <c r="K70" s="38">
        <f t="shared" si="31"/>
        <v>25823.871999999999</v>
      </c>
      <c r="L70" s="38">
        <f t="shared" si="31"/>
        <v>26432.828800000003</v>
      </c>
      <c r="M70" s="38">
        <f t="shared" si="31"/>
        <v>26969.604800000001</v>
      </c>
      <c r="N70" s="38">
        <f t="shared" si="31"/>
        <v>27511.144</v>
      </c>
      <c r="O70" s="38">
        <f t="shared" si="31"/>
        <v>29119.443990067612</v>
      </c>
      <c r="P70" s="38">
        <f t="shared" si="31"/>
        <v>29603.458390067612</v>
      </c>
      <c r="Q70" s="38">
        <f t="shared" si="31"/>
        <v>30080.511190067609</v>
      </c>
      <c r="R70" s="38">
        <f t="shared" si="31"/>
        <v>30556.46479006761</v>
      </c>
      <c r="S70" s="38">
        <f t="shared" si="31"/>
        <v>30973.427990067612</v>
      </c>
      <c r="T70" s="38">
        <f t="shared" si="31"/>
        <v>31395.154390067612</v>
      </c>
      <c r="U70" s="38">
        <f t="shared" si="31"/>
        <v>31794.530390067615</v>
      </c>
      <c r="V70" s="38">
        <f t="shared" si="31"/>
        <v>32186.944790067613</v>
      </c>
      <c r="W70" s="38">
        <f t="shared" si="31"/>
        <v>32546.383190067609</v>
      </c>
      <c r="X70" s="38">
        <f t="shared" si="31"/>
        <v>32923.042390067611</v>
      </c>
    </row>
    <row r="73" spans="1:24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</row>
    <row r="74" spans="1:24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</row>
    <row r="76" spans="1:24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</row>
    <row r="79" spans="1:24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</row>
  </sheetData>
  <mergeCells count="14">
    <mergeCell ref="C15:D15"/>
    <mergeCell ref="C16:D16"/>
    <mergeCell ref="C17:D17"/>
    <mergeCell ref="J8:R8"/>
    <mergeCell ref="I7:S7"/>
    <mergeCell ref="C14:D14"/>
    <mergeCell ref="C12:E12"/>
    <mergeCell ref="K9:Q9"/>
    <mergeCell ref="A13:B13"/>
    <mergeCell ref="A14:B14"/>
    <mergeCell ref="O14:R14"/>
    <mergeCell ref="O13:R13"/>
    <mergeCell ref="O12:S12"/>
    <mergeCell ref="C13:D13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81AEF-83C8-4A85-8F92-BA6429B23C63}">
  <dimension ref="A1:Z79"/>
  <sheetViews>
    <sheetView zoomScaleNormal="100" workbookViewId="0"/>
  </sheetViews>
  <sheetFormatPr defaultRowHeight="14.5"/>
  <cols>
    <col min="2" max="2" width="15.54296875" customWidth="1"/>
    <col min="3" max="3" width="37.26953125" customWidth="1"/>
    <col min="4" max="24" width="9.7265625" customWidth="1"/>
  </cols>
  <sheetData>
    <row r="1" spans="1:24">
      <c r="B1" t="s">
        <v>104</v>
      </c>
    </row>
    <row r="2" spans="1:24">
      <c r="B2" t="s">
        <v>6</v>
      </c>
    </row>
    <row r="3" spans="1:24">
      <c r="B3" t="s">
        <v>7</v>
      </c>
    </row>
    <row r="4" spans="1:24">
      <c r="B4" t="s">
        <v>8</v>
      </c>
    </row>
    <row r="5" spans="1:24">
      <c r="B5" t="s">
        <v>105</v>
      </c>
      <c r="M5" s="11"/>
    </row>
    <row r="7" spans="1:24">
      <c r="A7" s="3"/>
      <c r="B7" s="3"/>
      <c r="C7" s="3"/>
      <c r="D7" s="3"/>
      <c r="E7" s="3"/>
      <c r="F7" s="3"/>
      <c r="G7" s="3"/>
      <c r="H7" s="3"/>
      <c r="I7" s="75" t="s">
        <v>106</v>
      </c>
      <c r="J7" s="75"/>
      <c r="K7" s="75"/>
      <c r="L7" s="75"/>
      <c r="M7" s="75"/>
      <c r="N7" s="75"/>
      <c r="O7" s="75"/>
      <c r="P7" s="75"/>
      <c r="Q7" s="75"/>
      <c r="R7" s="75"/>
      <c r="S7" s="75"/>
      <c r="T7" s="3"/>
      <c r="U7" s="3"/>
      <c r="V7" s="3"/>
      <c r="W7" s="3"/>
      <c r="X7" s="3"/>
    </row>
    <row r="8" spans="1:24">
      <c r="A8" s="3"/>
      <c r="B8" s="3"/>
      <c r="C8" s="3"/>
      <c r="D8" s="3"/>
      <c r="E8" s="3"/>
      <c r="F8" s="3"/>
      <c r="G8" s="4"/>
      <c r="H8" s="4"/>
      <c r="I8" s="4"/>
      <c r="J8" s="75" t="s">
        <v>11</v>
      </c>
      <c r="K8" s="75"/>
      <c r="L8" s="75"/>
      <c r="M8" s="75"/>
      <c r="N8" s="75"/>
      <c r="O8" s="75"/>
      <c r="P8" s="75"/>
      <c r="Q8" s="75"/>
      <c r="R8" s="75"/>
      <c r="S8" s="4"/>
      <c r="T8" s="4"/>
      <c r="U8" s="4"/>
      <c r="V8" s="3"/>
      <c r="W8" s="3"/>
      <c r="X8" s="3"/>
    </row>
    <row r="9" spans="1:24">
      <c r="A9" s="8"/>
      <c r="B9" s="8"/>
      <c r="C9" s="8"/>
      <c r="D9" s="8"/>
      <c r="E9" s="13"/>
      <c r="F9" s="8"/>
      <c r="G9" s="8"/>
      <c r="H9" s="8"/>
      <c r="I9" s="13"/>
      <c r="J9" s="12"/>
      <c r="K9" s="73" t="s">
        <v>107</v>
      </c>
      <c r="L9" s="73"/>
      <c r="M9" s="73"/>
      <c r="N9" s="73"/>
      <c r="O9" s="73"/>
      <c r="P9" s="73"/>
      <c r="Q9" s="73"/>
      <c r="R9" s="12"/>
      <c r="S9" s="12"/>
      <c r="T9" s="8"/>
      <c r="U9" s="8"/>
      <c r="V9" s="12"/>
      <c r="W9" s="12"/>
      <c r="X9" s="12"/>
    </row>
    <row r="10" spans="1:24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>
      <c r="A12" s="5"/>
      <c r="B12" s="3"/>
      <c r="C12" s="73" t="s">
        <v>13</v>
      </c>
      <c r="D12" s="73"/>
      <c r="E12" s="73"/>
      <c r="F12" s="3"/>
      <c r="G12" s="3"/>
      <c r="H12" s="3"/>
      <c r="I12" s="3"/>
      <c r="J12" s="3"/>
      <c r="K12" s="3"/>
      <c r="L12" s="3"/>
      <c r="M12" s="3"/>
      <c r="O12" s="73" t="s">
        <v>14</v>
      </c>
      <c r="P12" s="73"/>
      <c r="Q12" s="73"/>
      <c r="R12" s="73"/>
      <c r="S12" s="73"/>
      <c r="T12" s="3"/>
      <c r="U12" s="3"/>
      <c r="V12" s="3"/>
      <c r="W12" s="3"/>
    </row>
    <row r="13" spans="1:24" ht="16.5">
      <c r="A13" s="71" t="s">
        <v>15</v>
      </c>
      <c r="B13" s="71"/>
      <c r="C13" s="74" t="s">
        <v>16</v>
      </c>
      <c r="D13" s="74"/>
      <c r="E13" s="15">
        <v>0.05</v>
      </c>
      <c r="F13" s="3"/>
      <c r="G13" s="38"/>
      <c r="H13" s="3"/>
      <c r="I13" s="38"/>
      <c r="J13" s="3"/>
      <c r="K13" s="3"/>
      <c r="L13" s="3"/>
      <c r="M13" s="3"/>
      <c r="N13" s="3" t="s">
        <v>17</v>
      </c>
      <c r="O13" s="72" t="s">
        <v>18</v>
      </c>
      <c r="P13" s="72"/>
      <c r="Q13" s="72"/>
      <c r="R13" s="72"/>
      <c r="S13" s="16">
        <v>0.04</v>
      </c>
      <c r="T13" s="3"/>
      <c r="U13" s="3"/>
      <c r="V13" s="3"/>
      <c r="W13" s="3"/>
      <c r="X13" s="3"/>
    </row>
    <row r="14" spans="1:24" ht="16.5">
      <c r="A14" s="71" t="s">
        <v>19</v>
      </c>
      <c r="B14" s="71"/>
      <c r="C14" s="72" t="s">
        <v>20</v>
      </c>
      <c r="D14" s="72"/>
      <c r="E14" s="16">
        <v>0.25</v>
      </c>
      <c r="F14" s="3"/>
      <c r="G14" s="38"/>
      <c r="H14" s="38"/>
      <c r="I14" s="38"/>
      <c r="J14" s="3"/>
      <c r="K14" s="3"/>
      <c r="L14" s="3"/>
      <c r="M14" s="3"/>
      <c r="N14" s="3" t="s">
        <v>21</v>
      </c>
      <c r="O14" s="72" t="s">
        <v>22</v>
      </c>
      <c r="P14" s="72"/>
      <c r="Q14" s="72"/>
      <c r="R14" s="72"/>
      <c r="S14" s="16">
        <v>0.22</v>
      </c>
      <c r="T14" s="3"/>
      <c r="U14" s="3"/>
      <c r="V14" s="3"/>
      <c r="W14" s="3"/>
      <c r="X14" s="3"/>
    </row>
    <row r="15" spans="1:24">
      <c r="A15" s="5"/>
      <c r="B15" s="3" t="s">
        <v>23</v>
      </c>
      <c r="C15" s="72" t="s">
        <v>24</v>
      </c>
      <c r="D15" s="72"/>
      <c r="E15" s="45">
        <v>0.3</v>
      </c>
      <c r="F15" s="3"/>
      <c r="G15" s="38"/>
      <c r="H15" s="38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>
      <c r="A16" s="5"/>
      <c r="B16" s="3" t="s">
        <v>25</v>
      </c>
      <c r="C16" s="72" t="s">
        <v>26</v>
      </c>
      <c r="D16" s="72"/>
      <c r="E16" s="16">
        <v>0.18</v>
      </c>
      <c r="F16" s="3"/>
      <c r="G16" s="3"/>
      <c r="H16" s="38"/>
      <c r="I16" s="3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6">
      <c r="A17" s="5"/>
      <c r="B17" s="3"/>
      <c r="C17" s="72" t="s">
        <v>108</v>
      </c>
      <c r="D17" s="72"/>
      <c r="E17" s="36">
        <v>43983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6">
      <c r="A18" s="5"/>
      <c r="B18" s="3"/>
      <c r="C18" s="3"/>
      <c r="D18" s="3"/>
      <c r="E18" s="16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6">
      <c r="A19" s="5"/>
      <c r="B19" s="3"/>
      <c r="C19" s="3"/>
      <c r="D19" s="3"/>
      <c r="E19" s="3" t="s">
        <v>28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6" ht="15" thickBot="1">
      <c r="A20" s="17"/>
      <c r="B20" s="4"/>
      <c r="C20" s="6" t="s">
        <v>29</v>
      </c>
      <c r="D20" s="7">
        <v>0</v>
      </c>
      <c r="E20" s="7">
        <f>D20+1</f>
        <v>1</v>
      </c>
      <c r="F20" s="7">
        <f t="shared" ref="F20:U20" si="0">E20+1</f>
        <v>2</v>
      </c>
      <c r="G20" s="7">
        <f t="shared" si="0"/>
        <v>3</v>
      </c>
      <c r="H20" s="7">
        <f t="shared" si="0"/>
        <v>4</v>
      </c>
      <c r="I20" s="7">
        <f t="shared" si="0"/>
        <v>5</v>
      </c>
      <c r="J20" s="7">
        <f t="shared" si="0"/>
        <v>6</v>
      </c>
      <c r="K20" s="7">
        <f t="shared" si="0"/>
        <v>7</v>
      </c>
      <c r="L20" s="7">
        <f t="shared" si="0"/>
        <v>8</v>
      </c>
      <c r="M20" s="7">
        <f>L20+1</f>
        <v>9</v>
      </c>
      <c r="N20" s="7">
        <f t="shared" si="0"/>
        <v>10</v>
      </c>
      <c r="O20" s="7">
        <f t="shared" si="0"/>
        <v>11</v>
      </c>
      <c r="P20" s="7">
        <f t="shared" si="0"/>
        <v>12</v>
      </c>
      <c r="Q20" s="7">
        <f t="shared" si="0"/>
        <v>13</v>
      </c>
      <c r="R20" s="7">
        <f t="shared" si="0"/>
        <v>14</v>
      </c>
      <c r="S20" s="7">
        <f t="shared" si="0"/>
        <v>15</v>
      </c>
      <c r="T20" s="7">
        <f t="shared" si="0"/>
        <v>16</v>
      </c>
      <c r="U20" s="7">
        <f t="shared" si="0"/>
        <v>17</v>
      </c>
      <c r="V20" s="7">
        <f t="shared" ref="V20:W20" si="1">U20+1</f>
        <v>18</v>
      </c>
      <c r="W20" s="7">
        <f t="shared" si="1"/>
        <v>19</v>
      </c>
      <c r="X20" s="7">
        <f>W20+1</f>
        <v>20</v>
      </c>
    </row>
    <row r="21" spans="1:26" ht="15.5" thickTop="1" thickBot="1">
      <c r="A21" s="17"/>
      <c r="B21" s="4"/>
      <c r="C21" s="6" t="s">
        <v>30</v>
      </c>
      <c r="D21" s="7"/>
      <c r="E21" s="7">
        <v>1</v>
      </c>
      <c r="F21" s="7">
        <v>2</v>
      </c>
      <c r="G21" s="7">
        <v>3</v>
      </c>
      <c r="H21" s="7">
        <v>4</v>
      </c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P21" s="7">
        <v>12</v>
      </c>
      <c r="Q21" s="7">
        <v>13</v>
      </c>
      <c r="R21" s="7">
        <v>14</v>
      </c>
      <c r="S21" s="7">
        <v>15</v>
      </c>
      <c r="T21" s="7">
        <v>16</v>
      </c>
      <c r="U21" s="7">
        <v>17</v>
      </c>
      <c r="V21" s="7">
        <v>18</v>
      </c>
      <c r="W21" s="7">
        <v>19</v>
      </c>
      <c r="X21" s="7">
        <v>20</v>
      </c>
    </row>
    <row r="22" spans="1:26" ht="15.5" thickTop="1" thickBot="1">
      <c r="A22" s="17" t="s">
        <v>31</v>
      </c>
      <c r="B22" s="4" t="s">
        <v>32</v>
      </c>
      <c r="C22" s="6" t="s">
        <v>33</v>
      </c>
      <c r="D22" s="53">
        <v>43983</v>
      </c>
      <c r="E22" s="53">
        <v>44348</v>
      </c>
      <c r="F22" s="53">
        <v>44713</v>
      </c>
      <c r="G22" s="53">
        <v>45078</v>
      </c>
      <c r="H22" s="53">
        <v>45444</v>
      </c>
      <c r="I22" s="53">
        <v>45809</v>
      </c>
      <c r="J22" s="53">
        <v>46174</v>
      </c>
      <c r="K22" s="53">
        <v>46539</v>
      </c>
      <c r="L22" s="53">
        <v>46905</v>
      </c>
      <c r="M22" s="53">
        <v>47270</v>
      </c>
      <c r="N22" s="53">
        <v>47635</v>
      </c>
      <c r="O22" s="53">
        <v>48000</v>
      </c>
      <c r="P22" s="53">
        <v>48366</v>
      </c>
      <c r="Q22" s="53">
        <v>48731</v>
      </c>
      <c r="R22" s="53">
        <v>49096</v>
      </c>
      <c r="S22" s="53">
        <v>49461</v>
      </c>
      <c r="T22" s="53">
        <v>49827</v>
      </c>
      <c r="U22" s="53">
        <v>50192</v>
      </c>
      <c r="V22" s="53">
        <v>50557</v>
      </c>
      <c r="W22" s="53">
        <v>50922</v>
      </c>
      <c r="X22" s="53">
        <v>51288</v>
      </c>
    </row>
    <row r="23" spans="1:26" ht="15" thickTop="1">
      <c r="A23" s="17"/>
      <c r="B23" s="4"/>
      <c r="C23" s="18" t="s">
        <v>34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6" ht="16.5">
      <c r="A24" s="5">
        <v>1</v>
      </c>
      <c r="B24" s="49" t="s">
        <v>35</v>
      </c>
      <c r="C24" s="20" t="s">
        <v>36</v>
      </c>
      <c r="D24" s="14">
        <v>17434.411200000002</v>
      </c>
      <c r="E24" s="14">
        <v>12823.267200000002</v>
      </c>
      <c r="F24" s="14">
        <v>9928.3407999999999</v>
      </c>
      <c r="G24" s="14">
        <v>10540.228799999999</v>
      </c>
      <c r="H24" s="14">
        <v>11408.9632</v>
      </c>
      <c r="I24" s="14">
        <v>12099.9936</v>
      </c>
      <c r="J24" s="14">
        <v>12717.011199999999</v>
      </c>
      <c r="K24" s="14">
        <v>13491.947199999999</v>
      </c>
      <c r="L24" s="14">
        <v>11938.044800000001</v>
      </c>
      <c r="M24" s="14">
        <v>12474.088</v>
      </c>
      <c r="N24" s="14">
        <v>13011.963200000002</v>
      </c>
      <c r="O24" s="14">
        <v>10834.081600000001</v>
      </c>
      <c r="P24" s="14">
        <v>11409.696</v>
      </c>
      <c r="Q24" s="14">
        <v>12036.239999999998</v>
      </c>
      <c r="R24" s="14">
        <v>9950.3248000000021</v>
      </c>
      <c r="S24" s="14">
        <v>10557.4496</v>
      </c>
      <c r="T24" s="14">
        <v>11175.9328</v>
      </c>
      <c r="U24" s="14">
        <v>12168.510400000001</v>
      </c>
      <c r="V24" s="14">
        <v>13173.1792</v>
      </c>
      <c r="W24" s="14">
        <v>13940.787200000001</v>
      </c>
      <c r="X24" s="14">
        <v>11910.5648</v>
      </c>
    </row>
    <row r="25" spans="1:26" ht="16.5">
      <c r="A25" s="5">
        <v>2</v>
      </c>
      <c r="B25" s="49" t="s">
        <v>37</v>
      </c>
      <c r="C25" s="20" t="s">
        <v>38</v>
      </c>
      <c r="D25" s="14">
        <v>1324.5360000000003</v>
      </c>
      <c r="E25" s="14">
        <v>839.42239999999993</v>
      </c>
      <c r="F25" s="14">
        <v>542.27200000000005</v>
      </c>
      <c r="G25" s="14">
        <v>597.96479999999997</v>
      </c>
      <c r="H25" s="14">
        <v>665.01600000000008</v>
      </c>
      <c r="I25" s="14">
        <v>737.19679999999994</v>
      </c>
      <c r="J25" s="14">
        <v>800.95040000000006</v>
      </c>
      <c r="K25" s="14">
        <v>872.76480000000004</v>
      </c>
      <c r="L25" s="14">
        <v>730.23520000000008</v>
      </c>
      <c r="M25" s="14">
        <v>797.65280000000007</v>
      </c>
      <c r="N25" s="14">
        <v>868.36800000000017</v>
      </c>
      <c r="O25" s="14">
        <v>660.25279999999998</v>
      </c>
      <c r="P25" s="14">
        <v>728.03679999999997</v>
      </c>
      <c r="Q25" s="14">
        <v>795.82079999999996</v>
      </c>
      <c r="R25" s="14">
        <v>588.072</v>
      </c>
      <c r="S25" s="14">
        <v>649.26080000000002</v>
      </c>
      <c r="T25" s="14">
        <v>705.68640000000005</v>
      </c>
      <c r="U25" s="14">
        <v>768.70720000000006</v>
      </c>
      <c r="V25" s="14">
        <v>839.78880000000004</v>
      </c>
      <c r="W25" s="14">
        <v>909.03839999999991</v>
      </c>
      <c r="X25" s="14">
        <v>697.99200000000008</v>
      </c>
    </row>
    <row r="26" spans="1:26" ht="16.5">
      <c r="A26" s="5">
        <v>3</v>
      </c>
      <c r="B26" s="49" t="s">
        <v>39</v>
      </c>
      <c r="C26" s="20" t="s">
        <v>40</v>
      </c>
      <c r="D26" s="54"/>
      <c r="E26" s="14">
        <v>801.09695999999997</v>
      </c>
      <c r="F26" s="14">
        <v>515.37824000000012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317.15584000000001</v>
      </c>
      <c r="M26" s="14">
        <v>0</v>
      </c>
      <c r="N26" s="14">
        <v>0</v>
      </c>
      <c r="O26" s="14">
        <v>396.44480000000004</v>
      </c>
      <c r="P26" s="14">
        <v>0</v>
      </c>
      <c r="Q26" s="14">
        <v>0</v>
      </c>
      <c r="R26" s="14">
        <v>396.44480000000004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396.44480000000004</v>
      </c>
    </row>
    <row r="27" spans="1:26" ht="16.5">
      <c r="A27" s="5">
        <v>3</v>
      </c>
      <c r="B27" s="49" t="s">
        <v>41</v>
      </c>
      <c r="C27" s="20" t="s">
        <v>42</v>
      </c>
      <c r="D27" s="54"/>
      <c r="E27" s="14">
        <f>AVERAGE(E26:X26)</f>
        <v>141.14827200000002</v>
      </c>
      <c r="F27" s="14">
        <f>E27</f>
        <v>141.14827200000002</v>
      </c>
      <c r="G27" s="14">
        <f t="shared" ref="G27:W28" si="2">F27</f>
        <v>141.14827200000002</v>
      </c>
      <c r="H27" s="14">
        <f>G27</f>
        <v>141.14827200000002</v>
      </c>
      <c r="I27" s="14">
        <f t="shared" si="2"/>
        <v>141.14827200000002</v>
      </c>
      <c r="J27" s="14">
        <f t="shared" si="2"/>
        <v>141.14827200000002</v>
      </c>
      <c r="K27" s="14">
        <f t="shared" si="2"/>
        <v>141.14827200000002</v>
      </c>
      <c r="L27" s="14">
        <f t="shared" si="2"/>
        <v>141.14827200000002</v>
      </c>
      <c r="M27" s="14">
        <f t="shared" si="2"/>
        <v>141.14827200000002</v>
      </c>
      <c r="N27" s="14">
        <f t="shared" si="2"/>
        <v>141.14827200000002</v>
      </c>
      <c r="O27" s="14">
        <f t="shared" si="2"/>
        <v>141.14827200000002</v>
      </c>
      <c r="P27" s="14">
        <f t="shared" si="2"/>
        <v>141.14827200000002</v>
      </c>
      <c r="Q27" s="14">
        <f t="shared" si="2"/>
        <v>141.14827200000002</v>
      </c>
      <c r="R27" s="14">
        <f t="shared" si="2"/>
        <v>141.14827200000002</v>
      </c>
      <c r="S27" s="14">
        <f t="shared" si="2"/>
        <v>141.14827200000002</v>
      </c>
      <c r="T27" s="14">
        <f t="shared" si="2"/>
        <v>141.14827200000002</v>
      </c>
      <c r="U27" s="14">
        <f t="shared" si="2"/>
        <v>141.14827200000002</v>
      </c>
      <c r="V27" s="14">
        <f t="shared" si="2"/>
        <v>141.14827200000002</v>
      </c>
      <c r="W27" s="14">
        <f t="shared" si="2"/>
        <v>141.14827200000002</v>
      </c>
      <c r="X27" s="14">
        <f>W27</f>
        <v>141.14827200000002</v>
      </c>
    </row>
    <row r="28" spans="1:26" ht="16.5">
      <c r="A28" s="9">
        <v>5</v>
      </c>
      <c r="B28" s="49" t="s">
        <v>43</v>
      </c>
      <c r="C28" s="20" t="s">
        <v>44</v>
      </c>
      <c r="D28" s="54"/>
      <c r="E28" s="14">
        <f>SUM(D24:X25)/21</f>
        <v>12911.621942857144</v>
      </c>
      <c r="F28" s="14">
        <f t="shared" ref="F28:H28" si="3">E28</f>
        <v>12911.621942857144</v>
      </c>
      <c r="G28" s="14">
        <f t="shared" si="3"/>
        <v>12911.621942857144</v>
      </c>
      <c r="H28" s="14">
        <f t="shared" si="3"/>
        <v>12911.621942857144</v>
      </c>
      <c r="I28" s="14">
        <f t="shared" si="2"/>
        <v>12911.621942857144</v>
      </c>
      <c r="J28" s="14">
        <f t="shared" si="2"/>
        <v>12911.621942857144</v>
      </c>
      <c r="K28" s="14">
        <f t="shared" si="2"/>
        <v>12911.621942857144</v>
      </c>
      <c r="L28" s="14">
        <f t="shared" si="2"/>
        <v>12911.621942857144</v>
      </c>
      <c r="M28" s="14">
        <f t="shared" si="2"/>
        <v>12911.621942857144</v>
      </c>
      <c r="N28" s="14">
        <f t="shared" si="2"/>
        <v>12911.621942857144</v>
      </c>
      <c r="O28" s="14">
        <f t="shared" si="2"/>
        <v>12911.621942857144</v>
      </c>
      <c r="P28" s="14">
        <f t="shared" si="2"/>
        <v>12911.621942857144</v>
      </c>
      <c r="Q28" s="14">
        <f t="shared" si="2"/>
        <v>12911.621942857144</v>
      </c>
      <c r="R28" s="14">
        <f t="shared" si="2"/>
        <v>12911.621942857144</v>
      </c>
      <c r="S28" s="14">
        <f t="shared" si="2"/>
        <v>12911.621942857144</v>
      </c>
      <c r="T28" s="14">
        <f t="shared" si="2"/>
        <v>12911.621942857144</v>
      </c>
      <c r="U28" s="14">
        <f t="shared" si="2"/>
        <v>12911.621942857144</v>
      </c>
      <c r="V28" s="14">
        <f t="shared" si="2"/>
        <v>12911.621942857144</v>
      </c>
      <c r="W28" s="14">
        <f t="shared" si="2"/>
        <v>12911.621942857144</v>
      </c>
      <c r="X28" s="14">
        <f>W28</f>
        <v>12911.621942857144</v>
      </c>
      <c r="Y28" s="1"/>
    </row>
    <row r="29" spans="1:26">
      <c r="A29" s="5" t="s">
        <v>45</v>
      </c>
      <c r="B29" s="49" t="s">
        <v>46</v>
      </c>
      <c r="C29" s="20" t="s">
        <v>47</v>
      </c>
      <c r="D29" s="55"/>
      <c r="E29" s="21">
        <f>IF(SUM($D29:D29)=0,(IF($D$24+$D$25&gt;$E$28, IF((E24+E25)&lt;=E28,1,0),IF((E24+E25)&gt;=E28,1,0))),0)</f>
        <v>0</v>
      </c>
      <c r="F29" s="21">
        <f>IF(SUM($D29:E29)=0,(IF($D$24+$D$25&gt;$E$28, IF((F24+F25)&lt;=F28,1,0),IF((F24+F25)&gt;=F28,1,0))),0)</f>
        <v>1</v>
      </c>
      <c r="G29" s="21">
        <f>IF(SUM($D29:F29)=0,(IF($D$24+$D$25&gt;$E$28, IF((G24+G25)&lt;=G28,1,0),IF((G24+G25)&gt;=G28,1,0))),0)</f>
        <v>0</v>
      </c>
      <c r="H29" s="21">
        <f>IF(SUM($D29:G29)=0,(IF($D$24+$D$25&gt;$E$28, IF((H24+H25)&lt;=H28,1,0),IF((H24+H25)&gt;=H28,1,0))),0)</f>
        <v>0</v>
      </c>
      <c r="I29" s="21">
        <f>IF(SUM($D29:H29)=0,(IF($D$24+$D$25&gt;$E$28, IF((I24+I25)&lt;=I28,1,0),IF((I24+I25)&gt;=I28,1,0))),0)</f>
        <v>0</v>
      </c>
      <c r="J29" s="21">
        <f>IF(SUM($D29:I29)=0,(IF($D$24+$D$25&gt;$E$28, IF((J24+J25)&lt;=J28,1,0),IF((J24+J25)&gt;=J28,1,0))),0)</f>
        <v>0</v>
      </c>
      <c r="K29" s="21">
        <f>IF(SUM($D29:J29)=0,(IF($D$24+$D$25&gt;$E$28, IF((K24+K25)&lt;=K28,1,0),IF((K24+K25)&gt;=K28,1,0))),0)</f>
        <v>0</v>
      </c>
      <c r="L29" s="21">
        <f>IF(SUM($D29:K29)=0,(IF($D$24+$D$25&gt;$E$28, IF((L24+L25)&lt;=L28,1,0),IF((L24+L25)&gt;=L28,1,0))),0)</f>
        <v>0</v>
      </c>
      <c r="M29" s="21">
        <f>IF(SUM($D29:L29)=0,(IF($D$24+$D$25&gt;$E$28, IF((M24+M25)&lt;=M28,1,0),IF((M24+M25)&gt;=M28,1,0))),0)</f>
        <v>0</v>
      </c>
      <c r="N29" s="21">
        <f>IF(SUM($D29:M29)=0,(IF($D$24+$D$25&gt;$E$28, IF((N24+N25)&lt;=N28,1,0),IF((N24+N25)&gt;=N28,1,0))),0)</f>
        <v>0</v>
      </c>
      <c r="O29" s="21">
        <f>IF(SUM($D29:N29)=0,(IF($D$24+$D$25&gt;$E$28, IF((O24+O25)&lt;=O28,1,0),IF((O24+O25)&gt;=O28,1,0))),0)</f>
        <v>0</v>
      </c>
      <c r="P29" s="21">
        <f>IF(SUM($D29:O29)=0,(IF($D$24+$D$25&gt;$E$28, IF((P24+P25)&lt;=P28,1,0),IF((P24+P25)&gt;=P28,1,0))),0)</f>
        <v>0</v>
      </c>
      <c r="Q29" s="21">
        <f>IF(SUM($D29:P29)=0,(IF($D$24+$D$25&gt;$E$28, IF((Q24+Q25)&lt;=Q28,1,0),IF((Q24+Q25)&gt;=Q28,1,0))),0)</f>
        <v>0</v>
      </c>
      <c r="R29" s="21">
        <f>IF(SUM($D29:Q29)=0,(IF($D$24+$D$25&gt;$E$28, IF((R24+R25)&lt;=R28,1,0),IF((R24+R25)&gt;=R28,1,0))),0)</f>
        <v>0</v>
      </c>
      <c r="S29" s="21">
        <f>IF(SUM($D29:R29)=0,(IF($D$24+$D$25&gt;$E$28, IF((S24+S25)&lt;=S28,1,0),IF((S24+S25)&gt;=S28,1,0))),0)</f>
        <v>0</v>
      </c>
      <c r="T29" s="21">
        <f>IF(SUM($D29:S29)=0,(IF($D$24+$D$25&gt;$E$28, IF((T24+T25)&lt;=T28,1,0),IF((T24+T25)&gt;=T28,1,0))),0)</f>
        <v>0</v>
      </c>
      <c r="U29" s="21">
        <f>IF(SUM($D29:T29)=0,(IF($D$24+$D$25&gt;$E$28, IF((U24+U25)&lt;=U28,1,0),IF((U24+U25)&gt;=U28,1,0))),0)</f>
        <v>0</v>
      </c>
      <c r="V29" s="21">
        <f>IF(SUM($D29:U29)=0,(IF($D$24+$D$25&gt;$E$28, IF((V24+V25)&lt;=V28,1,0),IF((V24+V25)&gt;=V28,1,0))),0)</f>
        <v>0</v>
      </c>
      <c r="W29" s="21">
        <f>IF(SUM($D29:V29)=0,(IF($D$24+$D$25&gt;$E$28, IF((W24+W25)&lt;=W28,1,0),IF((W24+W25)&gt;=W28,1,0))),0)</f>
        <v>0</v>
      </c>
      <c r="X29" s="21">
        <f>IF(SUM($D29:W29)=0,(IF($D$24+$D$25&gt;$E$28, IF((X24+X25)&lt;=X28,1,0),IF((X24+X25)&gt;=X28,1,0))),0)</f>
        <v>0</v>
      </c>
    </row>
    <row r="30" spans="1:26" ht="16.5">
      <c r="A30" s="5" t="s">
        <v>48</v>
      </c>
      <c r="B30" s="50" t="s">
        <v>49</v>
      </c>
      <c r="C30" s="20" t="s">
        <v>50</v>
      </c>
      <c r="D30" s="60"/>
      <c r="E30" s="10">
        <f>IF(E29=1,E28-(D24+D25),IF(SUM($D29:D29)=1,0,((E24-D24)+(E25-D25))))</f>
        <v>-5096.2576000000008</v>
      </c>
      <c r="F30" s="10">
        <f>IF(F29=1,F28-(E24+E25),IF(SUM($D29:E29)=1,0,((F24-E24)+(F25-E25))))</f>
        <v>-751.06765714285757</v>
      </c>
      <c r="G30" s="10">
        <f>IF(G29=1,G28-(F24+F25),IF(SUM($D29:F29)=1,0,((G24-F24)+(G25-F25))))</f>
        <v>0</v>
      </c>
      <c r="H30" s="10">
        <f>IF(H29=1,H28-(G24+G25),IF(SUM($D29:G29)=1,0,((H24-G24)+(H25-G25))))</f>
        <v>0</v>
      </c>
      <c r="I30" s="10">
        <f>IF(I29=1,I28-(H24+H25),IF(SUM($D29:H29)=1,0,((I24-H24)+(I25-H25))))</f>
        <v>0</v>
      </c>
      <c r="J30" s="10">
        <f>IF(J29=1,J28-(I24+I25),IF(SUM($D29:I29)=1,0,((J24-I24)+(J25-I25))))</f>
        <v>0</v>
      </c>
      <c r="K30" s="10">
        <f>IF(K29=1,K28-(J24+J25),IF(SUM($D29:J29)=1,0,((K24-J24)+(K25-J25))))</f>
        <v>0</v>
      </c>
      <c r="L30" s="10">
        <f>IF(L29=1,L28-(K24+K25),IF(SUM($D29:K29)=1,0,((L24-K24)+(L25-K25))))</f>
        <v>0</v>
      </c>
      <c r="M30" s="10">
        <f>IF(M29=1,M28-(L24+L25),IF(SUM($D29:L29)=1,0,((M24-L24)+(M25-L25))))</f>
        <v>0</v>
      </c>
      <c r="N30" s="10">
        <f>IF(N29=1,N28-(M24+M25),IF(SUM($D29:M29)=1,0,((N24-M24)+(N25-M25))))</f>
        <v>0</v>
      </c>
      <c r="O30" s="10">
        <f>IF(O29=1,O28-(N24+N25),IF(SUM($D29:N29)=1,0,((O24-N24)+(O25-N25))))</f>
        <v>0</v>
      </c>
      <c r="P30" s="10">
        <f>IF(P29=1,P28-(O24+O25),IF(SUM($D29:O29)=1,0,((P24-O24)+(P25-O25))))</f>
        <v>0</v>
      </c>
      <c r="Q30" s="10">
        <f>IF(Q29=1,Q28-(P24+P25),IF(SUM($D29:P29)=1,0,((Q24-P24)+(Q25-P25))))</f>
        <v>0</v>
      </c>
      <c r="R30" s="10">
        <f>IF(R29=1,R28-(Q24+Q25),IF(SUM($D29:Q29)=1,0,((R24-Q24)+(R25-Q25))))</f>
        <v>0</v>
      </c>
      <c r="S30" s="10">
        <f>IF(S29=1,S28-(R24+R25),IF(SUM($D29:R29)=1,0,((S24-R24)+(S25-R25))))</f>
        <v>0</v>
      </c>
      <c r="T30" s="10">
        <f>IF(T29=1,T28-(S24+S25),IF(SUM($D29:S29)=1,0,((T24-S24)+(T25-S25))))</f>
        <v>0</v>
      </c>
      <c r="U30" s="10">
        <f>IF(U29=1,U28-(T24+T25),IF(SUM($D29:T29)=1,0,((U24-T24)+(U25-T25))))</f>
        <v>0</v>
      </c>
      <c r="V30" s="10">
        <f>IF(V29=1,V28-(U24+U25),IF(SUM($D29:U29)=1,0,((V24-U24)+(V25-U25))))</f>
        <v>0</v>
      </c>
      <c r="W30" s="10">
        <f>IF(W29=1,W28-(V24+V25),IF(SUM($D29:V29)=1,0,((W24-V24)+(W25-V25))))</f>
        <v>0</v>
      </c>
      <c r="X30" s="10">
        <f>IF(X29=1,X28-(W24+W25),IF(SUM($D29:W29)=1,0,((X24-W24)+(X25-W25))))</f>
        <v>0</v>
      </c>
    </row>
    <row r="31" spans="1:26">
      <c r="A31" s="5"/>
      <c r="B31" s="49"/>
      <c r="C31" s="29" t="s">
        <v>51</v>
      </c>
      <c r="D31" s="30"/>
      <c r="E31" s="30"/>
      <c r="F31" s="30"/>
      <c r="G31" s="30"/>
      <c r="H31" s="30"/>
      <c r="I31" s="32"/>
      <c r="J31" s="30"/>
      <c r="K31" s="30"/>
      <c r="L31" s="30"/>
      <c r="M31" s="30"/>
      <c r="N31" s="30"/>
      <c r="O31" s="30"/>
      <c r="P31" s="30"/>
      <c r="Q31" s="30"/>
      <c r="R31" s="30"/>
      <c r="S31" s="32"/>
      <c r="T31" s="30"/>
      <c r="U31" s="30"/>
      <c r="V31" s="30"/>
      <c r="W31" s="30"/>
      <c r="X31" s="30"/>
    </row>
    <row r="32" spans="1:26" ht="16.5">
      <c r="A32" s="5">
        <v>14</v>
      </c>
      <c r="B32" s="50" t="s">
        <v>52</v>
      </c>
      <c r="C32" s="31" t="s">
        <v>53</v>
      </c>
      <c r="D32" s="33">
        <v>17434.411200000002</v>
      </c>
      <c r="E32" s="33">
        <v>18185.164799999999</v>
      </c>
      <c r="F32" s="33">
        <v>18908.438399999999</v>
      </c>
      <c r="G32" s="33">
        <v>17862</v>
      </c>
      <c r="H32" s="33">
        <v>18810.243200000004</v>
      </c>
      <c r="I32" s="33">
        <v>19580.049599999998</v>
      </c>
      <c r="J32" s="33">
        <v>20250.195200000002</v>
      </c>
      <c r="K32" s="33">
        <v>21084.8544</v>
      </c>
      <c r="L32" s="33">
        <v>21772.220799999999</v>
      </c>
      <c r="M32" s="33">
        <v>22376.7808</v>
      </c>
      <c r="N32" s="33">
        <v>22975.844799999999</v>
      </c>
      <c r="O32" s="33">
        <v>23555.489600000001</v>
      </c>
      <c r="P32" s="33">
        <v>24092.632000000001</v>
      </c>
      <c r="Q32" s="33">
        <v>22280.784000000003</v>
      </c>
      <c r="R32" s="33">
        <v>22798.873599999999</v>
      </c>
      <c r="S32" s="33">
        <v>23272.262400000003</v>
      </c>
      <c r="T32" s="33">
        <v>23750.048000000003</v>
      </c>
      <c r="U32" s="33">
        <v>24208.048000000003</v>
      </c>
      <c r="V32" s="33">
        <v>24652.857599999999</v>
      </c>
      <c r="W32" s="33">
        <v>22252.2048</v>
      </c>
      <c r="X32" s="33">
        <v>22697.380799999999</v>
      </c>
      <c r="Z32" s="1"/>
    </row>
    <row r="33" spans="1:26" ht="16.5">
      <c r="A33" s="5">
        <v>15</v>
      </c>
      <c r="B33" s="50" t="s">
        <v>54</v>
      </c>
      <c r="C33" s="31" t="s">
        <v>55</v>
      </c>
      <c r="D33" s="33">
        <v>1324.5360000000003</v>
      </c>
      <c r="E33" s="33">
        <v>1411.0064000000002</v>
      </c>
      <c r="F33" s="33">
        <v>1496.0112000000001</v>
      </c>
      <c r="G33" s="33">
        <v>1387.5568000000001</v>
      </c>
      <c r="H33" s="33">
        <v>1454.2416000000001</v>
      </c>
      <c r="I33" s="33">
        <v>1540.3455999999999</v>
      </c>
      <c r="J33" s="33">
        <v>1627.1824000000001</v>
      </c>
      <c r="K33" s="33">
        <v>1712.9200000000003</v>
      </c>
      <c r="L33" s="33">
        <v>1810.0160000000001</v>
      </c>
      <c r="M33" s="33">
        <v>1897.2192</v>
      </c>
      <c r="N33" s="33">
        <v>1974.1632</v>
      </c>
      <c r="O33" s="33">
        <v>2063.5647999999997</v>
      </c>
      <c r="P33" s="33">
        <v>2162.4774280811343</v>
      </c>
      <c r="Q33" s="33">
        <v>1990.6837531391968</v>
      </c>
      <c r="R33" s="33">
        <v>2073.17167819726</v>
      </c>
      <c r="S33" s="33">
        <v>2160.056403255322</v>
      </c>
      <c r="T33" s="33">
        <v>2229.7203283133854</v>
      </c>
      <c r="U33" s="33">
        <v>2308.1778533714478</v>
      </c>
      <c r="V33" s="33">
        <v>2387.0017784295101</v>
      </c>
      <c r="W33" s="33">
        <v>2149.256103487573</v>
      </c>
      <c r="X33" s="33">
        <v>2216.7216285456357</v>
      </c>
      <c r="Z33" s="1"/>
    </row>
    <row r="34" spans="1:26" ht="16.5">
      <c r="A34" s="5">
        <v>17</v>
      </c>
      <c r="B34" s="50" t="s">
        <v>56</v>
      </c>
      <c r="C34" s="31" t="s">
        <v>57</v>
      </c>
      <c r="D34" s="56"/>
      <c r="E34" s="33">
        <v>0</v>
      </c>
      <c r="F34" s="33">
        <v>0</v>
      </c>
      <c r="G34" s="33">
        <v>272.60160000000002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363.46880000000004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454.33600000000001</v>
      </c>
      <c r="X34" s="33">
        <v>0</v>
      </c>
      <c r="Z34" s="1"/>
    </row>
    <row r="35" spans="1:26" ht="16.5">
      <c r="A35" s="5">
        <v>17</v>
      </c>
      <c r="B35" s="51" t="s">
        <v>58</v>
      </c>
      <c r="C35" s="34" t="s">
        <v>59</v>
      </c>
      <c r="D35" s="57"/>
      <c r="E35" s="35">
        <f t="shared" ref="E35:X35" si="4">(E32-D32)+(E33-D33)</f>
        <v>837.22399999999629</v>
      </c>
      <c r="F35" s="35">
        <f t="shared" si="4"/>
        <v>808.27840000000037</v>
      </c>
      <c r="G35" s="35">
        <f t="shared" si="4"/>
        <v>-1154.8927999999992</v>
      </c>
      <c r="H35" s="35">
        <f t="shared" si="4"/>
        <v>1014.9280000000044</v>
      </c>
      <c r="I35" s="35">
        <f t="shared" si="4"/>
        <v>855.91039999999384</v>
      </c>
      <c r="J35" s="35">
        <f t="shared" si="4"/>
        <v>756.98240000000374</v>
      </c>
      <c r="K35" s="35">
        <f t="shared" si="4"/>
        <v>920.39679999999839</v>
      </c>
      <c r="L35" s="35">
        <f t="shared" si="4"/>
        <v>784.46239999999875</v>
      </c>
      <c r="M35" s="35">
        <f t="shared" si="4"/>
        <v>691.76320000000123</v>
      </c>
      <c r="N35" s="35">
        <f t="shared" si="4"/>
        <v>676.00799999999845</v>
      </c>
      <c r="O35" s="35">
        <f t="shared" si="4"/>
        <v>669.04640000000154</v>
      </c>
      <c r="P35" s="35">
        <f t="shared" si="4"/>
        <v>636.05502808113533</v>
      </c>
      <c r="Q35" s="35">
        <f t="shared" si="4"/>
        <v>-1983.6416749419357</v>
      </c>
      <c r="R35" s="35">
        <f t="shared" si="4"/>
        <v>600.57752505805888</v>
      </c>
      <c r="S35" s="35">
        <f t="shared" si="4"/>
        <v>560.2735250580663</v>
      </c>
      <c r="T35" s="35">
        <f t="shared" si="4"/>
        <v>547.44952505806259</v>
      </c>
      <c r="U35" s="35">
        <f t="shared" si="4"/>
        <v>536.4575250580624</v>
      </c>
      <c r="V35" s="35">
        <f t="shared" si="4"/>
        <v>523.63352505805915</v>
      </c>
      <c r="W35" s="35">
        <f t="shared" si="4"/>
        <v>-2638.3984749419369</v>
      </c>
      <c r="X35" s="35">
        <f t="shared" si="4"/>
        <v>512.64152505806214</v>
      </c>
      <c r="Z35" s="1"/>
    </row>
    <row r="36" spans="1:26">
      <c r="A36" s="5"/>
      <c r="B36" s="51"/>
      <c r="C36" s="25" t="s">
        <v>60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6" ht="16.5">
      <c r="A37" s="5">
        <v>13</v>
      </c>
      <c r="B37" s="51" t="s">
        <v>61</v>
      </c>
      <c r="C37" s="27" t="s">
        <v>62</v>
      </c>
      <c r="D37" s="28">
        <f>SQRT((($D$24*$E$13^2)+($D$25*$E$14^2)+($E$27*$E$13^2))/SUM($D$24:$D$25, $E$27))</f>
        <v>8.188317867518187E-2</v>
      </c>
      <c r="E37" s="28">
        <f t="shared" ref="E37:X37" si="5">SQRT((($D$24*$E$13^2)+($D$25*$E$14^2)+($E$27*$E$13^2))/SUM($D$24:$D$25, $E$27))</f>
        <v>8.188317867518187E-2</v>
      </c>
      <c r="F37" s="28">
        <f t="shared" si="5"/>
        <v>8.188317867518187E-2</v>
      </c>
      <c r="G37" s="28">
        <f t="shared" si="5"/>
        <v>8.188317867518187E-2</v>
      </c>
      <c r="H37" s="28">
        <f t="shared" si="5"/>
        <v>8.188317867518187E-2</v>
      </c>
      <c r="I37" s="28">
        <f t="shared" si="5"/>
        <v>8.188317867518187E-2</v>
      </c>
      <c r="J37" s="28">
        <f t="shared" si="5"/>
        <v>8.188317867518187E-2</v>
      </c>
      <c r="K37" s="28">
        <f t="shared" si="5"/>
        <v>8.188317867518187E-2</v>
      </c>
      <c r="L37" s="28">
        <f t="shared" si="5"/>
        <v>8.188317867518187E-2</v>
      </c>
      <c r="M37" s="28">
        <f t="shared" si="5"/>
        <v>8.188317867518187E-2</v>
      </c>
      <c r="N37" s="28">
        <f t="shared" si="5"/>
        <v>8.188317867518187E-2</v>
      </c>
      <c r="O37" s="28">
        <f t="shared" si="5"/>
        <v>8.188317867518187E-2</v>
      </c>
      <c r="P37" s="28">
        <f t="shared" si="5"/>
        <v>8.188317867518187E-2</v>
      </c>
      <c r="Q37" s="28">
        <f t="shared" si="5"/>
        <v>8.188317867518187E-2</v>
      </c>
      <c r="R37" s="28">
        <f t="shared" si="5"/>
        <v>8.188317867518187E-2</v>
      </c>
      <c r="S37" s="28">
        <f t="shared" si="5"/>
        <v>8.188317867518187E-2</v>
      </c>
      <c r="T37" s="28">
        <f t="shared" si="5"/>
        <v>8.188317867518187E-2</v>
      </c>
      <c r="U37" s="28">
        <f t="shared" si="5"/>
        <v>8.188317867518187E-2</v>
      </c>
      <c r="V37" s="28">
        <f t="shared" si="5"/>
        <v>8.188317867518187E-2</v>
      </c>
      <c r="W37" s="28">
        <f t="shared" si="5"/>
        <v>8.188317867518187E-2</v>
      </c>
      <c r="X37" s="28">
        <f t="shared" si="5"/>
        <v>8.188317867518187E-2</v>
      </c>
    </row>
    <row r="38" spans="1:26" ht="16.5">
      <c r="A38" s="5">
        <v>21</v>
      </c>
      <c r="B38" s="51" t="s">
        <v>63</v>
      </c>
      <c r="C38" s="27" t="s">
        <v>64</v>
      </c>
      <c r="D38" s="28">
        <f>SQRT(((D$32*$E$13^2)+(D$33*$E$14^2)+(D$34*$E$13^2))/SUM(D$32:D$34))</f>
        <v>8.2076145213038354E-2</v>
      </c>
      <c r="E38" s="28">
        <f>SQRT(((E$32*$E$13^2)+(E$33*$E$14^2)+(E$34*$E$13^2))/SUM(E$32:E$34))</f>
        <v>8.2584812736991531E-2</v>
      </c>
      <c r="F38" s="28">
        <f t="shared" ref="F38:N38" si="6">SQRT(((F$32*$E$13^2)+(F$33*$E$14^2)+(F$34*$E$13^2))/SUM(F$32:F$34))</f>
        <v>8.306066111963975E-2</v>
      </c>
      <c r="G38" s="28">
        <f t="shared" si="6"/>
        <v>8.2246942794894348E-2</v>
      </c>
      <c r="H38" s="28">
        <f t="shared" si="6"/>
        <v>8.2497176181762819E-2</v>
      </c>
      <c r="I38" s="28">
        <f t="shared" si="6"/>
        <v>8.2921046398437392E-2</v>
      </c>
      <c r="J38" s="28">
        <f t="shared" si="6"/>
        <v>8.3442458152545557E-2</v>
      </c>
      <c r="K38" s="28">
        <f t="shared" si="6"/>
        <v>8.3714540354269812E-2</v>
      </c>
      <c r="L38" s="28">
        <f t="shared" si="6"/>
        <v>8.4292359245456513E-2</v>
      </c>
      <c r="M38" s="28">
        <f t="shared" si="6"/>
        <v>8.479097495584223E-2</v>
      </c>
      <c r="N38" s="28">
        <f t="shared" si="6"/>
        <v>8.5132162729880723E-2</v>
      </c>
      <c r="O38" s="28">
        <f>SQRT(((O$32*$S$13^2)+(O$33*$S$14^2)+(O$34*$S$13^2))/SUM(O$32:O$34))</f>
        <v>7.3277886182830515E-2</v>
      </c>
      <c r="P38" s="28">
        <f t="shared" ref="P38:X38" si="7">SQRT(((P$32*$S$13^2)+(P$33*$S$14^2)+(P$34*$S$13^2))/SUM(P$32:P$34))</f>
        <v>7.3855521414212283E-2</v>
      </c>
      <c r="Q38" s="28">
        <f t="shared" si="7"/>
        <v>7.336064084020831E-2</v>
      </c>
      <c r="R38" s="28">
        <f t="shared" si="7"/>
        <v>7.4168343283254612E-2</v>
      </c>
      <c r="S38" s="28">
        <f t="shared" si="7"/>
        <v>7.4665178093862541E-2</v>
      </c>
      <c r="T38" s="28">
        <f t="shared" si="7"/>
        <v>7.4944126455463222E-2</v>
      </c>
      <c r="U38" s="28">
        <f t="shared" si="7"/>
        <v>7.5324861738433876E-2</v>
      </c>
      <c r="V38" s="28">
        <f t="shared" si="7"/>
        <v>7.5705816930394174E-2</v>
      </c>
      <c r="W38" s="28">
        <f t="shared" si="7"/>
        <v>7.5144857299286383E-2</v>
      </c>
      <c r="X38" s="28">
        <f t="shared" si="7"/>
        <v>7.5921077590979075E-2</v>
      </c>
    </row>
    <row r="39" spans="1:26" ht="16.5">
      <c r="A39" s="5">
        <v>22</v>
      </c>
      <c r="B39" s="51" t="s">
        <v>65</v>
      </c>
      <c r="C39" s="27" t="s">
        <v>66</v>
      </c>
      <c r="D39" s="58"/>
      <c r="E39" s="28">
        <f>SQRT((((ABS(E$30)+E27)*E$37^2)+((ABS(E$35)+E34)*E$38^2))/((ABS(E$30)+E27)+(ABS(E$35)+E34)))</f>
        <v>8.198023680036047E-2</v>
      </c>
      <c r="F39" s="28">
        <f t="shared" ref="F39:X39" si="8">SQRT((((ABS(F$30)+F27)*F$37^2)+((ABS(F$35)+F34)*F$38^2))/((ABS(F$30)+F27)+(ABS(F$35)+F34)))</f>
        <v>8.2444956251643969E-2</v>
      </c>
      <c r="G39" s="28">
        <f t="shared" si="8"/>
        <v>8.2214276777812692E-2</v>
      </c>
      <c r="H39" s="28">
        <f t="shared" si="8"/>
        <v>8.2422456805197608E-2</v>
      </c>
      <c r="I39" s="28">
        <f t="shared" si="8"/>
        <v>8.2774911721650107E-2</v>
      </c>
      <c r="J39" s="28">
        <f t="shared" si="8"/>
        <v>8.3199340630947832E-2</v>
      </c>
      <c r="K39" s="28">
        <f t="shared" si="8"/>
        <v>8.3473349529001151E-2</v>
      </c>
      <c r="L39" s="28">
        <f t="shared" si="8"/>
        <v>8.3929447214885045E-2</v>
      </c>
      <c r="M39" s="28">
        <f t="shared" si="8"/>
        <v>8.4305267242275786E-2</v>
      </c>
      <c r="N39" s="28">
        <f t="shared" si="8"/>
        <v>8.457987965665803E-2</v>
      </c>
      <c r="O39" s="28">
        <f t="shared" si="8"/>
        <v>7.4848259288911367E-2</v>
      </c>
      <c r="P39" s="28">
        <f t="shared" si="8"/>
        <v>7.5376989513534734E-2</v>
      </c>
      <c r="Q39" s="28">
        <f t="shared" si="8"/>
        <v>7.3870398669882542E-2</v>
      </c>
      <c r="R39" s="28">
        <f t="shared" si="8"/>
        <v>7.5697054610175257E-2</v>
      </c>
      <c r="S39" s="28">
        <f t="shared" si="8"/>
        <v>7.6172657686120748E-2</v>
      </c>
      <c r="T39" s="28">
        <f t="shared" si="8"/>
        <v>7.6417846505717354E-2</v>
      </c>
      <c r="U39" s="28">
        <f t="shared" si="8"/>
        <v>7.6737219359738859E-2</v>
      </c>
      <c r="V39" s="28">
        <f t="shared" si="8"/>
        <v>7.7058831593272342E-2</v>
      </c>
      <c r="W39" s="28">
        <f t="shared" si="8"/>
        <v>7.5451523336390186E-2</v>
      </c>
      <c r="X39" s="28">
        <f t="shared" si="8"/>
        <v>7.7247209179114124E-2</v>
      </c>
    </row>
    <row r="40" spans="1:26">
      <c r="A40" s="5"/>
      <c r="B40" s="51"/>
      <c r="C40" s="27" t="s">
        <v>67</v>
      </c>
      <c r="D40" s="59"/>
      <c r="E40" s="28">
        <f>IF(E39&lt;=10%,0%,E39-10%)</f>
        <v>0</v>
      </c>
      <c r="F40" s="28">
        <f t="shared" ref="F40:X40" si="9">IF(F39&lt;=10%,0%,F39-10%)</f>
        <v>0</v>
      </c>
      <c r="G40" s="28">
        <f t="shared" si="9"/>
        <v>0</v>
      </c>
      <c r="H40" s="28">
        <f t="shared" si="9"/>
        <v>0</v>
      </c>
      <c r="I40" s="28">
        <f t="shared" si="9"/>
        <v>0</v>
      </c>
      <c r="J40" s="28">
        <f t="shared" si="9"/>
        <v>0</v>
      </c>
      <c r="K40" s="28">
        <f t="shared" si="9"/>
        <v>0</v>
      </c>
      <c r="L40" s="28">
        <f t="shared" si="9"/>
        <v>0</v>
      </c>
      <c r="M40" s="28">
        <f t="shared" si="9"/>
        <v>0</v>
      </c>
      <c r="N40" s="28">
        <f t="shared" si="9"/>
        <v>0</v>
      </c>
      <c r="O40" s="28">
        <f t="shared" si="9"/>
        <v>0</v>
      </c>
      <c r="P40" s="28">
        <f t="shared" si="9"/>
        <v>0</v>
      </c>
      <c r="Q40" s="28">
        <f t="shared" si="9"/>
        <v>0</v>
      </c>
      <c r="R40" s="28">
        <f t="shared" si="9"/>
        <v>0</v>
      </c>
      <c r="S40" s="28">
        <f t="shared" si="9"/>
        <v>0</v>
      </c>
      <c r="T40" s="28">
        <f t="shared" si="9"/>
        <v>0</v>
      </c>
      <c r="U40" s="28">
        <f t="shared" si="9"/>
        <v>0</v>
      </c>
      <c r="V40" s="28">
        <f t="shared" si="9"/>
        <v>0</v>
      </c>
      <c r="W40" s="28">
        <f t="shared" si="9"/>
        <v>0</v>
      </c>
      <c r="X40" s="28">
        <f t="shared" si="9"/>
        <v>0</v>
      </c>
    </row>
    <row r="41" spans="1:26">
      <c r="A41" s="3"/>
      <c r="B41" s="49"/>
      <c r="C41" s="22" t="s">
        <v>68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1:26" ht="16.5">
      <c r="A42" s="5">
        <v>24</v>
      </c>
      <c r="B42" s="49" t="s">
        <v>69</v>
      </c>
      <c r="C42" s="24" t="s">
        <v>70</v>
      </c>
      <c r="D42" s="61"/>
      <c r="E42" s="37">
        <f>ROUNDDOWN(((E$35-E$30)+(E34-E27))*(1-$E$15)*(1-E40),0)</f>
        <v>4054</v>
      </c>
      <c r="F42" s="37">
        <f t="shared" ref="F42:X42" si="10">ROUNDDOWN(((F$35-F$30)+(F34-F27))*(1-$E$15)*(1-F40),0)</f>
        <v>992</v>
      </c>
      <c r="G42" s="37">
        <f t="shared" si="10"/>
        <v>-716</v>
      </c>
      <c r="H42" s="37">
        <f t="shared" si="10"/>
        <v>611</v>
      </c>
      <c r="I42" s="37">
        <f t="shared" si="10"/>
        <v>500</v>
      </c>
      <c r="J42" s="37">
        <f t="shared" si="10"/>
        <v>431</v>
      </c>
      <c r="K42" s="37">
        <f t="shared" si="10"/>
        <v>545</v>
      </c>
      <c r="L42" s="37">
        <f t="shared" si="10"/>
        <v>450</v>
      </c>
      <c r="M42" s="37">
        <f t="shared" si="10"/>
        <v>385</v>
      </c>
      <c r="N42" s="37">
        <f t="shared" si="10"/>
        <v>374</v>
      </c>
      <c r="O42" s="37">
        <f t="shared" si="10"/>
        <v>369</v>
      </c>
      <c r="P42" s="37">
        <f t="shared" si="10"/>
        <v>346</v>
      </c>
      <c r="Q42" s="37">
        <f t="shared" si="10"/>
        <v>-1232</v>
      </c>
      <c r="R42" s="37">
        <f t="shared" si="10"/>
        <v>321</v>
      </c>
      <c r="S42" s="37">
        <f t="shared" si="10"/>
        <v>293</v>
      </c>
      <c r="T42" s="37">
        <f t="shared" si="10"/>
        <v>284</v>
      </c>
      <c r="U42" s="37">
        <f t="shared" si="10"/>
        <v>276</v>
      </c>
      <c r="V42" s="37">
        <f t="shared" si="10"/>
        <v>267</v>
      </c>
      <c r="W42" s="37">
        <f t="shared" si="10"/>
        <v>-1627</v>
      </c>
      <c r="X42" s="37">
        <f t="shared" si="10"/>
        <v>260</v>
      </c>
      <c r="Y42" s="47"/>
    </row>
    <row r="43" spans="1:26" ht="16.5">
      <c r="A43" s="5">
        <v>24</v>
      </c>
      <c r="B43" s="49" t="s">
        <v>71</v>
      </c>
      <c r="C43" s="24" t="s">
        <v>72</v>
      </c>
      <c r="D43" s="61"/>
      <c r="E43" s="37">
        <f t="shared" ref="E43:X43" si="11">IF(E42&lt;0,0,IF(E42+D56&lt;0,0,E42+D56))</f>
        <v>4054</v>
      </c>
      <c r="F43" s="37">
        <f t="shared" si="11"/>
        <v>992</v>
      </c>
      <c r="G43" s="37">
        <f t="shared" si="11"/>
        <v>0</v>
      </c>
      <c r="H43" s="37">
        <f t="shared" si="11"/>
        <v>611</v>
      </c>
      <c r="I43" s="37">
        <f t="shared" si="11"/>
        <v>500</v>
      </c>
      <c r="J43" s="37">
        <f t="shared" si="11"/>
        <v>431</v>
      </c>
      <c r="K43" s="37">
        <f t="shared" si="11"/>
        <v>545</v>
      </c>
      <c r="L43" s="37">
        <f t="shared" si="11"/>
        <v>450</v>
      </c>
      <c r="M43" s="37">
        <f t="shared" si="11"/>
        <v>385</v>
      </c>
      <c r="N43" s="37">
        <f t="shared" si="11"/>
        <v>374</v>
      </c>
      <c r="O43" s="37">
        <f t="shared" si="11"/>
        <v>369</v>
      </c>
      <c r="P43" s="37">
        <f t="shared" si="11"/>
        <v>346</v>
      </c>
      <c r="Q43" s="37">
        <f t="shared" si="11"/>
        <v>0</v>
      </c>
      <c r="R43" s="37">
        <f t="shared" si="11"/>
        <v>321</v>
      </c>
      <c r="S43" s="37">
        <f t="shared" si="11"/>
        <v>293</v>
      </c>
      <c r="T43" s="37">
        <f t="shared" si="11"/>
        <v>284</v>
      </c>
      <c r="U43" s="37">
        <f t="shared" si="11"/>
        <v>276</v>
      </c>
      <c r="V43" s="37">
        <f t="shared" si="11"/>
        <v>267</v>
      </c>
      <c r="W43" s="37">
        <f t="shared" si="11"/>
        <v>0</v>
      </c>
      <c r="X43" s="37">
        <f t="shared" si="11"/>
        <v>260</v>
      </c>
      <c r="Y43" s="47"/>
    </row>
    <row r="44" spans="1:26" ht="16.5">
      <c r="A44" s="5">
        <v>25</v>
      </c>
      <c r="B44" s="49" t="s">
        <v>73</v>
      </c>
      <c r="C44" s="24" t="s">
        <v>74</v>
      </c>
      <c r="D44" s="61"/>
      <c r="E44" s="37">
        <f>ROUNDUP(E43*$E$16,0)</f>
        <v>730</v>
      </c>
      <c r="F44" s="37">
        <f t="shared" ref="F44:X44" si="12">ROUNDUP(F43*$E$16,0)</f>
        <v>179</v>
      </c>
      <c r="G44" s="37">
        <f t="shared" si="12"/>
        <v>0</v>
      </c>
      <c r="H44" s="37">
        <f t="shared" si="12"/>
        <v>110</v>
      </c>
      <c r="I44" s="37">
        <f t="shared" si="12"/>
        <v>90</v>
      </c>
      <c r="J44" s="37">
        <f t="shared" si="12"/>
        <v>78</v>
      </c>
      <c r="K44" s="37">
        <f t="shared" si="12"/>
        <v>99</v>
      </c>
      <c r="L44" s="37">
        <f t="shared" si="12"/>
        <v>81</v>
      </c>
      <c r="M44" s="37">
        <f t="shared" si="12"/>
        <v>70</v>
      </c>
      <c r="N44" s="37">
        <f t="shared" si="12"/>
        <v>68</v>
      </c>
      <c r="O44" s="37">
        <f t="shared" si="12"/>
        <v>67</v>
      </c>
      <c r="P44" s="37">
        <f t="shared" si="12"/>
        <v>63</v>
      </c>
      <c r="Q44" s="37">
        <f t="shared" si="12"/>
        <v>0</v>
      </c>
      <c r="R44" s="37">
        <f t="shared" si="12"/>
        <v>58</v>
      </c>
      <c r="S44" s="37">
        <f t="shared" si="12"/>
        <v>53</v>
      </c>
      <c r="T44" s="37">
        <f t="shared" si="12"/>
        <v>52</v>
      </c>
      <c r="U44" s="37">
        <f t="shared" si="12"/>
        <v>50</v>
      </c>
      <c r="V44" s="37">
        <f t="shared" si="12"/>
        <v>49</v>
      </c>
      <c r="W44" s="37">
        <f t="shared" si="12"/>
        <v>0</v>
      </c>
      <c r="X44" s="37">
        <f t="shared" si="12"/>
        <v>47</v>
      </c>
      <c r="Y44" s="47"/>
    </row>
    <row r="45" spans="1:26" ht="16.5">
      <c r="A45" s="5">
        <v>26</v>
      </c>
      <c r="B45" s="49" t="s">
        <v>75</v>
      </c>
      <c r="C45" s="24" t="s">
        <v>76</v>
      </c>
      <c r="D45" s="62"/>
      <c r="E45" s="37">
        <f>E43-E44</f>
        <v>3324</v>
      </c>
      <c r="F45" s="37">
        <f t="shared" ref="F45:X45" si="13">F43-F44</f>
        <v>813</v>
      </c>
      <c r="G45" s="37">
        <f t="shared" si="13"/>
        <v>0</v>
      </c>
      <c r="H45" s="37">
        <f t="shared" si="13"/>
        <v>501</v>
      </c>
      <c r="I45" s="37">
        <f t="shared" si="13"/>
        <v>410</v>
      </c>
      <c r="J45" s="37">
        <f t="shared" si="13"/>
        <v>353</v>
      </c>
      <c r="K45" s="37">
        <f t="shared" si="13"/>
        <v>446</v>
      </c>
      <c r="L45" s="37">
        <f t="shared" si="13"/>
        <v>369</v>
      </c>
      <c r="M45" s="37">
        <f t="shared" si="13"/>
        <v>315</v>
      </c>
      <c r="N45" s="37">
        <f t="shared" si="13"/>
        <v>306</v>
      </c>
      <c r="O45" s="37">
        <f t="shared" si="13"/>
        <v>302</v>
      </c>
      <c r="P45" s="37">
        <f t="shared" si="13"/>
        <v>283</v>
      </c>
      <c r="Q45" s="37">
        <f t="shared" si="13"/>
        <v>0</v>
      </c>
      <c r="R45" s="37">
        <f t="shared" si="13"/>
        <v>263</v>
      </c>
      <c r="S45" s="37">
        <f t="shared" si="13"/>
        <v>240</v>
      </c>
      <c r="T45" s="37">
        <f t="shared" si="13"/>
        <v>232</v>
      </c>
      <c r="U45" s="37">
        <f t="shared" si="13"/>
        <v>226</v>
      </c>
      <c r="V45" s="37">
        <f t="shared" si="13"/>
        <v>218</v>
      </c>
      <c r="W45" s="37">
        <f t="shared" si="13"/>
        <v>0</v>
      </c>
      <c r="X45" s="37">
        <f t="shared" si="13"/>
        <v>213</v>
      </c>
      <c r="Y45" s="47"/>
    </row>
    <row r="46" spans="1:26" ht="16.5">
      <c r="A46" s="5">
        <v>27</v>
      </c>
      <c r="B46" s="49" t="s">
        <v>77</v>
      </c>
      <c r="C46" s="24" t="s">
        <v>78</v>
      </c>
      <c r="D46" s="62"/>
      <c r="E46" s="37">
        <f t="shared" ref="E46:X46" si="14">ROUND(E$43*((DATE(YEAR(E$22),1,1)-DATE(YEAR(D$22),MONTH($E$17),DAY($E$17)))/(365+IF(MOD(YEAR(D$22),4),0,1))),0)</f>
        <v>2370</v>
      </c>
      <c r="F46" s="37">
        <f t="shared" si="14"/>
        <v>582</v>
      </c>
      <c r="G46" s="37">
        <f t="shared" si="14"/>
        <v>0</v>
      </c>
      <c r="H46" s="37">
        <f t="shared" si="14"/>
        <v>358</v>
      </c>
      <c r="I46" s="37">
        <f t="shared" si="14"/>
        <v>292</v>
      </c>
      <c r="J46" s="37">
        <f t="shared" si="14"/>
        <v>253</v>
      </c>
      <c r="K46" s="37">
        <f t="shared" si="14"/>
        <v>320</v>
      </c>
      <c r="L46" s="37">
        <f t="shared" si="14"/>
        <v>264</v>
      </c>
      <c r="M46" s="37">
        <f t="shared" si="14"/>
        <v>225</v>
      </c>
      <c r="N46" s="37">
        <f t="shared" si="14"/>
        <v>219</v>
      </c>
      <c r="O46" s="37">
        <f t="shared" si="14"/>
        <v>216</v>
      </c>
      <c r="P46" s="37">
        <f t="shared" si="14"/>
        <v>203</v>
      </c>
      <c r="Q46" s="37">
        <f t="shared" si="14"/>
        <v>0</v>
      </c>
      <c r="R46" s="37">
        <f t="shared" si="14"/>
        <v>188</v>
      </c>
      <c r="S46" s="37">
        <f t="shared" si="14"/>
        <v>172</v>
      </c>
      <c r="T46" s="37">
        <f t="shared" si="14"/>
        <v>167</v>
      </c>
      <c r="U46" s="37">
        <f t="shared" si="14"/>
        <v>161</v>
      </c>
      <c r="V46" s="37">
        <f t="shared" si="14"/>
        <v>157</v>
      </c>
      <c r="W46" s="37">
        <f t="shared" si="14"/>
        <v>0</v>
      </c>
      <c r="X46" s="37">
        <f t="shared" si="14"/>
        <v>152</v>
      </c>
      <c r="Y46" s="47"/>
    </row>
    <row r="47" spans="1:26" ht="16.5">
      <c r="A47" s="5">
        <v>27</v>
      </c>
      <c r="B47" s="49" t="s">
        <v>77</v>
      </c>
      <c r="C47" s="24" t="s">
        <v>79</v>
      </c>
      <c r="D47" s="62"/>
      <c r="E47" s="37">
        <f t="shared" ref="E47:X47" si="15">ROUND(E$43*((DATE(YEAR(D$22),MONTH($E$17),DAY($E$17))-(DATE(YEAR(D$22),1,1)))/(365+IF(MOD(YEAR(D$22),4),0,1))),0)</f>
        <v>1684</v>
      </c>
      <c r="F47" s="37">
        <f t="shared" si="15"/>
        <v>410</v>
      </c>
      <c r="G47" s="37">
        <f t="shared" si="15"/>
        <v>0</v>
      </c>
      <c r="H47" s="37">
        <f t="shared" si="15"/>
        <v>253</v>
      </c>
      <c r="I47" s="37">
        <f t="shared" si="15"/>
        <v>208</v>
      </c>
      <c r="J47" s="37">
        <f t="shared" si="15"/>
        <v>178</v>
      </c>
      <c r="K47" s="37">
        <f t="shared" si="15"/>
        <v>225</v>
      </c>
      <c r="L47" s="37">
        <f t="shared" si="15"/>
        <v>186</v>
      </c>
      <c r="M47" s="37">
        <f t="shared" si="15"/>
        <v>160</v>
      </c>
      <c r="N47" s="37">
        <f t="shared" si="15"/>
        <v>155</v>
      </c>
      <c r="O47" s="37">
        <f t="shared" si="15"/>
        <v>153</v>
      </c>
      <c r="P47" s="37">
        <f t="shared" si="15"/>
        <v>143</v>
      </c>
      <c r="Q47" s="37">
        <f t="shared" si="15"/>
        <v>0</v>
      </c>
      <c r="R47" s="37">
        <f t="shared" si="15"/>
        <v>133</v>
      </c>
      <c r="S47" s="37">
        <f t="shared" si="15"/>
        <v>121</v>
      </c>
      <c r="T47" s="37">
        <f t="shared" si="15"/>
        <v>117</v>
      </c>
      <c r="U47" s="37">
        <f t="shared" si="15"/>
        <v>115</v>
      </c>
      <c r="V47" s="37">
        <f t="shared" si="15"/>
        <v>110</v>
      </c>
      <c r="W47" s="37">
        <f t="shared" si="15"/>
        <v>0</v>
      </c>
      <c r="X47" s="37">
        <f t="shared" si="15"/>
        <v>108</v>
      </c>
      <c r="Y47" s="47"/>
    </row>
    <row r="48" spans="1:26" ht="16.5">
      <c r="A48" s="5">
        <v>28</v>
      </c>
      <c r="B48" s="49" t="s">
        <v>80</v>
      </c>
      <c r="C48" s="24" t="s">
        <v>81</v>
      </c>
      <c r="D48" s="62"/>
      <c r="E48" s="37">
        <f t="shared" ref="E48:X48" si="16">IF(E$43&gt;0,ROUND((E46/E$43)*E$44,0),0)</f>
        <v>427</v>
      </c>
      <c r="F48" s="37">
        <f t="shared" si="16"/>
        <v>105</v>
      </c>
      <c r="G48" s="37">
        <f t="shared" si="16"/>
        <v>0</v>
      </c>
      <c r="H48" s="37">
        <f t="shared" si="16"/>
        <v>64</v>
      </c>
      <c r="I48" s="37">
        <f t="shared" si="16"/>
        <v>53</v>
      </c>
      <c r="J48" s="37">
        <f t="shared" si="16"/>
        <v>46</v>
      </c>
      <c r="K48" s="37">
        <f t="shared" si="16"/>
        <v>58</v>
      </c>
      <c r="L48" s="37">
        <f t="shared" si="16"/>
        <v>48</v>
      </c>
      <c r="M48" s="37">
        <f t="shared" si="16"/>
        <v>41</v>
      </c>
      <c r="N48" s="37">
        <f t="shared" si="16"/>
        <v>40</v>
      </c>
      <c r="O48" s="37">
        <f t="shared" si="16"/>
        <v>39</v>
      </c>
      <c r="P48" s="37">
        <f t="shared" si="16"/>
        <v>37</v>
      </c>
      <c r="Q48" s="37">
        <f t="shared" si="16"/>
        <v>0</v>
      </c>
      <c r="R48" s="37">
        <f t="shared" si="16"/>
        <v>34</v>
      </c>
      <c r="S48" s="37">
        <f t="shared" si="16"/>
        <v>31</v>
      </c>
      <c r="T48" s="37">
        <f t="shared" si="16"/>
        <v>31</v>
      </c>
      <c r="U48" s="37">
        <f t="shared" si="16"/>
        <v>29</v>
      </c>
      <c r="V48" s="37">
        <f t="shared" si="16"/>
        <v>29</v>
      </c>
      <c r="W48" s="37">
        <f t="shared" si="16"/>
        <v>0</v>
      </c>
      <c r="X48" s="37">
        <f t="shared" si="16"/>
        <v>27</v>
      </c>
      <c r="Y48" s="47"/>
    </row>
    <row r="49" spans="1:25" ht="16.5">
      <c r="A49" s="5">
        <v>28</v>
      </c>
      <c r="B49" s="49" t="s">
        <v>80</v>
      </c>
      <c r="C49" s="24" t="s">
        <v>82</v>
      </c>
      <c r="D49" s="61"/>
      <c r="E49" s="37">
        <f t="shared" ref="E49:X49" si="17">IF(E$43&gt;0,ROUND((E47/E$43)*E$44,0),0)</f>
        <v>303</v>
      </c>
      <c r="F49" s="37">
        <f t="shared" si="17"/>
        <v>74</v>
      </c>
      <c r="G49" s="37">
        <f t="shared" si="17"/>
        <v>0</v>
      </c>
      <c r="H49" s="37">
        <f t="shared" si="17"/>
        <v>46</v>
      </c>
      <c r="I49" s="37">
        <f t="shared" si="17"/>
        <v>37</v>
      </c>
      <c r="J49" s="37">
        <f t="shared" si="17"/>
        <v>32</v>
      </c>
      <c r="K49" s="37">
        <f t="shared" si="17"/>
        <v>41</v>
      </c>
      <c r="L49" s="37">
        <f t="shared" si="17"/>
        <v>33</v>
      </c>
      <c r="M49" s="37">
        <f t="shared" si="17"/>
        <v>29</v>
      </c>
      <c r="N49" s="37">
        <f t="shared" si="17"/>
        <v>28</v>
      </c>
      <c r="O49" s="37">
        <f t="shared" si="17"/>
        <v>28</v>
      </c>
      <c r="P49" s="37">
        <f t="shared" si="17"/>
        <v>26</v>
      </c>
      <c r="Q49" s="37">
        <f t="shared" si="17"/>
        <v>0</v>
      </c>
      <c r="R49" s="37">
        <f t="shared" si="17"/>
        <v>24</v>
      </c>
      <c r="S49" s="37">
        <f t="shared" si="17"/>
        <v>22</v>
      </c>
      <c r="T49" s="37">
        <f t="shared" si="17"/>
        <v>21</v>
      </c>
      <c r="U49" s="37">
        <f t="shared" si="17"/>
        <v>21</v>
      </c>
      <c r="V49" s="37">
        <f t="shared" si="17"/>
        <v>20</v>
      </c>
      <c r="W49" s="37">
        <f t="shared" si="17"/>
        <v>0</v>
      </c>
      <c r="X49" s="37">
        <f t="shared" si="17"/>
        <v>20</v>
      </c>
      <c r="Y49" s="47"/>
    </row>
    <row r="50" spans="1:25" ht="16.5">
      <c r="A50" s="5">
        <v>29</v>
      </c>
      <c r="B50" s="49" t="s">
        <v>83</v>
      </c>
      <c r="C50" s="24" t="s">
        <v>84</v>
      </c>
      <c r="D50" s="62"/>
      <c r="E50" s="37">
        <f t="shared" ref="E50:X50" si="18">E46-E48</f>
        <v>1943</v>
      </c>
      <c r="F50" s="37">
        <f t="shared" si="18"/>
        <v>477</v>
      </c>
      <c r="G50" s="37">
        <f t="shared" si="18"/>
        <v>0</v>
      </c>
      <c r="H50" s="37">
        <f t="shared" si="18"/>
        <v>294</v>
      </c>
      <c r="I50" s="37">
        <f t="shared" si="18"/>
        <v>239</v>
      </c>
      <c r="J50" s="37">
        <f t="shared" si="18"/>
        <v>207</v>
      </c>
      <c r="K50" s="37">
        <f t="shared" si="18"/>
        <v>262</v>
      </c>
      <c r="L50" s="37">
        <f t="shared" si="18"/>
        <v>216</v>
      </c>
      <c r="M50" s="37">
        <f t="shared" si="18"/>
        <v>184</v>
      </c>
      <c r="N50" s="37">
        <f t="shared" si="18"/>
        <v>179</v>
      </c>
      <c r="O50" s="37">
        <f t="shared" si="18"/>
        <v>177</v>
      </c>
      <c r="P50" s="37">
        <f t="shared" si="18"/>
        <v>166</v>
      </c>
      <c r="Q50" s="37">
        <f t="shared" si="18"/>
        <v>0</v>
      </c>
      <c r="R50" s="37">
        <f t="shared" si="18"/>
        <v>154</v>
      </c>
      <c r="S50" s="37">
        <f t="shared" si="18"/>
        <v>141</v>
      </c>
      <c r="T50" s="37">
        <f t="shared" si="18"/>
        <v>136</v>
      </c>
      <c r="U50" s="37">
        <f t="shared" si="18"/>
        <v>132</v>
      </c>
      <c r="V50" s="37">
        <f t="shared" si="18"/>
        <v>128</v>
      </c>
      <c r="W50" s="37">
        <f t="shared" si="18"/>
        <v>0</v>
      </c>
      <c r="X50" s="37">
        <f t="shared" si="18"/>
        <v>125</v>
      </c>
      <c r="Y50" s="47"/>
    </row>
    <row r="51" spans="1:25" ht="16.5">
      <c r="A51" s="5">
        <v>29</v>
      </c>
      <c r="B51" s="49" t="s">
        <v>83</v>
      </c>
      <c r="C51" s="24" t="s">
        <v>85</v>
      </c>
      <c r="D51" s="62"/>
      <c r="E51" s="37">
        <f t="shared" ref="E51:X51" si="19">E47-E49</f>
        <v>1381</v>
      </c>
      <c r="F51" s="37">
        <f t="shared" si="19"/>
        <v>336</v>
      </c>
      <c r="G51" s="37">
        <f t="shared" si="19"/>
        <v>0</v>
      </c>
      <c r="H51" s="37">
        <f t="shared" si="19"/>
        <v>207</v>
      </c>
      <c r="I51" s="37">
        <f t="shared" si="19"/>
        <v>171</v>
      </c>
      <c r="J51" s="37">
        <f t="shared" si="19"/>
        <v>146</v>
      </c>
      <c r="K51" s="37">
        <f t="shared" si="19"/>
        <v>184</v>
      </c>
      <c r="L51" s="37">
        <f t="shared" si="19"/>
        <v>153</v>
      </c>
      <c r="M51" s="37">
        <f t="shared" si="19"/>
        <v>131</v>
      </c>
      <c r="N51" s="37">
        <f t="shared" si="19"/>
        <v>127</v>
      </c>
      <c r="O51" s="37">
        <f t="shared" si="19"/>
        <v>125</v>
      </c>
      <c r="P51" s="37">
        <f t="shared" si="19"/>
        <v>117</v>
      </c>
      <c r="Q51" s="37">
        <f t="shared" si="19"/>
        <v>0</v>
      </c>
      <c r="R51" s="37">
        <f t="shared" si="19"/>
        <v>109</v>
      </c>
      <c r="S51" s="37">
        <f t="shared" si="19"/>
        <v>99</v>
      </c>
      <c r="T51" s="37">
        <f t="shared" si="19"/>
        <v>96</v>
      </c>
      <c r="U51" s="37">
        <f t="shared" si="19"/>
        <v>94</v>
      </c>
      <c r="V51" s="37">
        <f t="shared" si="19"/>
        <v>90</v>
      </c>
      <c r="W51" s="37">
        <f t="shared" si="19"/>
        <v>0</v>
      </c>
      <c r="X51" s="37">
        <f t="shared" si="19"/>
        <v>88</v>
      </c>
      <c r="Y51" s="47"/>
    </row>
    <row r="52" spans="1:25">
      <c r="A52" s="5"/>
      <c r="B52" s="49"/>
      <c r="C52" s="24" t="s">
        <v>86</v>
      </c>
      <c r="D52" s="61"/>
      <c r="E52" s="37">
        <f t="shared" ref="E52:X52" si="20">D$52+E$43</f>
        <v>4054</v>
      </c>
      <c r="F52" s="37">
        <f t="shared" si="20"/>
        <v>5046</v>
      </c>
      <c r="G52" s="37">
        <f t="shared" si="20"/>
        <v>5046</v>
      </c>
      <c r="H52" s="37">
        <f t="shared" si="20"/>
        <v>5657</v>
      </c>
      <c r="I52" s="37">
        <f t="shared" si="20"/>
        <v>6157</v>
      </c>
      <c r="J52" s="37">
        <f t="shared" si="20"/>
        <v>6588</v>
      </c>
      <c r="K52" s="37">
        <f t="shared" si="20"/>
        <v>7133</v>
      </c>
      <c r="L52" s="37">
        <f t="shared" si="20"/>
        <v>7583</v>
      </c>
      <c r="M52" s="37">
        <f t="shared" si="20"/>
        <v>7968</v>
      </c>
      <c r="N52" s="37">
        <f t="shared" si="20"/>
        <v>8342</v>
      </c>
      <c r="O52" s="37">
        <f t="shared" si="20"/>
        <v>8711</v>
      </c>
      <c r="P52" s="37">
        <f t="shared" si="20"/>
        <v>9057</v>
      </c>
      <c r="Q52" s="37">
        <f t="shared" si="20"/>
        <v>9057</v>
      </c>
      <c r="R52" s="37">
        <f t="shared" si="20"/>
        <v>9378</v>
      </c>
      <c r="S52" s="37">
        <f t="shared" si="20"/>
        <v>9671</v>
      </c>
      <c r="T52" s="37">
        <f t="shared" si="20"/>
        <v>9955</v>
      </c>
      <c r="U52" s="37">
        <f t="shared" si="20"/>
        <v>10231</v>
      </c>
      <c r="V52" s="37">
        <f t="shared" si="20"/>
        <v>10498</v>
      </c>
      <c r="W52" s="37">
        <f t="shared" si="20"/>
        <v>10498</v>
      </c>
      <c r="X52" s="37">
        <f t="shared" si="20"/>
        <v>10758</v>
      </c>
      <c r="Y52" s="47"/>
    </row>
    <row r="53" spans="1:25">
      <c r="A53" s="5"/>
      <c r="B53" s="49"/>
      <c r="C53" s="24" t="s">
        <v>87</v>
      </c>
      <c r="D53" s="61"/>
      <c r="E53" s="37">
        <f t="shared" ref="E53:X53" si="21">D$53+E$44</f>
        <v>730</v>
      </c>
      <c r="F53" s="37">
        <f t="shared" si="21"/>
        <v>909</v>
      </c>
      <c r="G53" s="37">
        <f t="shared" si="21"/>
        <v>909</v>
      </c>
      <c r="H53" s="37">
        <f t="shared" si="21"/>
        <v>1019</v>
      </c>
      <c r="I53" s="37">
        <f t="shared" si="21"/>
        <v>1109</v>
      </c>
      <c r="J53" s="37">
        <f t="shared" si="21"/>
        <v>1187</v>
      </c>
      <c r="K53" s="37">
        <f t="shared" si="21"/>
        <v>1286</v>
      </c>
      <c r="L53" s="37">
        <f t="shared" si="21"/>
        <v>1367</v>
      </c>
      <c r="M53" s="37">
        <f t="shared" si="21"/>
        <v>1437</v>
      </c>
      <c r="N53" s="37">
        <f t="shared" si="21"/>
        <v>1505</v>
      </c>
      <c r="O53" s="37">
        <f t="shared" si="21"/>
        <v>1572</v>
      </c>
      <c r="P53" s="37">
        <f t="shared" si="21"/>
        <v>1635</v>
      </c>
      <c r="Q53" s="37">
        <f t="shared" si="21"/>
        <v>1635</v>
      </c>
      <c r="R53" s="37">
        <f t="shared" si="21"/>
        <v>1693</v>
      </c>
      <c r="S53" s="37">
        <f t="shared" si="21"/>
        <v>1746</v>
      </c>
      <c r="T53" s="37">
        <f t="shared" si="21"/>
        <v>1798</v>
      </c>
      <c r="U53" s="37">
        <f t="shared" si="21"/>
        <v>1848</v>
      </c>
      <c r="V53" s="37">
        <f t="shared" si="21"/>
        <v>1897</v>
      </c>
      <c r="W53" s="37">
        <f t="shared" si="21"/>
        <v>1897</v>
      </c>
      <c r="X53" s="37">
        <f t="shared" si="21"/>
        <v>1944</v>
      </c>
      <c r="Y53" s="47"/>
    </row>
    <row r="54" spans="1:25">
      <c r="A54" s="5"/>
      <c r="B54" s="49"/>
      <c r="C54" s="24" t="s">
        <v>88</v>
      </c>
      <c r="D54" s="63"/>
      <c r="E54" s="37">
        <f t="shared" ref="E54:X54" si="22">D$54+E$45</f>
        <v>3324</v>
      </c>
      <c r="F54" s="37">
        <f t="shared" si="22"/>
        <v>4137</v>
      </c>
      <c r="G54" s="37">
        <f t="shared" si="22"/>
        <v>4137</v>
      </c>
      <c r="H54" s="37">
        <f t="shared" si="22"/>
        <v>4638</v>
      </c>
      <c r="I54" s="37">
        <f t="shared" si="22"/>
        <v>5048</v>
      </c>
      <c r="J54" s="37">
        <f t="shared" si="22"/>
        <v>5401</v>
      </c>
      <c r="K54" s="37">
        <f t="shared" si="22"/>
        <v>5847</v>
      </c>
      <c r="L54" s="37">
        <f t="shared" si="22"/>
        <v>6216</v>
      </c>
      <c r="M54" s="37">
        <f t="shared" si="22"/>
        <v>6531</v>
      </c>
      <c r="N54" s="37">
        <f t="shared" si="22"/>
        <v>6837</v>
      </c>
      <c r="O54" s="37">
        <f t="shared" si="22"/>
        <v>7139</v>
      </c>
      <c r="P54" s="37">
        <f t="shared" si="22"/>
        <v>7422</v>
      </c>
      <c r="Q54" s="37">
        <f t="shared" si="22"/>
        <v>7422</v>
      </c>
      <c r="R54" s="37">
        <f t="shared" si="22"/>
        <v>7685</v>
      </c>
      <c r="S54" s="37">
        <f t="shared" si="22"/>
        <v>7925</v>
      </c>
      <c r="T54" s="37">
        <f t="shared" si="22"/>
        <v>8157</v>
      </c>
      <c r="U54" s="37">
        <f t="shared" si="22"/>
        <v>8383</v>
      </c>
      <c r="V54" s="37">
        <f t="shared" si="22"/>
        <v>8601</v>
      </c>
      <c r="W54" s="37">
        <f t="shared" si="22"/>
        <v>8601</v>
      </c>
      <c r="X54" s="37">
        <f t="shared" si="22"/>
        <v>8814</v>
      </c>
      <c r="Y54" s="47"/>
    </row>
    <row r="55" spans="1:25">
      <c r="A55" s="5"/>
      <c r="B55" s="49"/>
      <c r="C55" s="39" t="s">
        <v>89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</row>
    <row r="56" spans="1:25">
      <c r="A56" s="5"/>
      <c r="B56" s="49"/>
      <c r="C56" s="41" t="s">
        <v>90</v>
      </c>
      <c r="D56" s="64"/>
      <c r="E56" s="42">
        <f>IF($E$42&gt;=0, 0, $E$42)</f>
        <v>0</v>
      </c>
      <c r="F56" s="42">
        <f>IF(AND(COUNTIF($E56:E56,0)=0,F42+E56&lt;0),F42+E56,0)</f>
        <v>0</v>
      </c>
      <c r="G56" s="42">
        <f>IF(AND(COUNTIF($E56:F56,0)=0,G42+F56&lt;0),G42+F56,0)</f>
        <v>0</v>
      </c>
      <c r="H56" s="42">
        <f>IF(AND(COUNTIF($E56:G56,0)=0,H42+G56&lt;0),H42+G56,0)</f>
        <v>0</v>
      </c>
      <c r="I56" s="42">
        <f>IF(AND(COUNTIF($E56:H56,0)=0,I42+H56&lt;0),I42+H56,0)</f>
        <v>0</v>
      </c>
      <c r="J56" s="42">
        <f>IF(AND(COUNTIF($E56:I56,0)=0,J42+I56&lt;0),J42+I56,0)</f>
        <v>0</v>
      </c>
      <c r="K56" s="42">
        <f>IF(AND(COUNTIF($E56:J56,0)=0,K42+J56&lt;0),K42+J56,0)</f>
        <v>0</v>
      </c>
      <c r="L56" s="42">
        <f>IF(AND(COUNTIF($E56:K56,0)=0,L42+K56&lt;0),L42+K56,0)</f>
        <v>0</v>
      </c>
      <c r="M56" s="42">
        <f>IF(AND(COUNTIF($E56:L56,0)=0,M42+L56&lt;0),M42+L56,0)</f>
        <v>0</v>
      </c>
      <c r="N56" s="42">
        <f>IF(AND(COUNTIF($E56:M56,0)=0,N42+M56&lt;0),N42+M56,0)</f>
        <v>0</v>
      </c>
      <c r="O56" s="42">
        <f>IF(AND(COUNTIF($E56:N56,0)=0,O42+N56&lt;0),O42+N56,0)</f>
        <v>0</v>
      </c>
      <c r="P56" s="42">
        <f>IF(AND(COUNTIF($E56:O56,0)=0,P42+O56&lt;0),P42+O56,0)</f>
        <v>0</v>
      </c>
      <c r="Q56" s="42">
        <f>IF(AND(COUNTIF($E56:P56,0)=0,Q42+P56&lt;0),Q42+P56,0)</f>
        <v>0</v>
      </c>
      <c r="R56" s="42">
        <f>IF(AND(COUNTIF($E56:Q56,0)=0,R42+Q56&lt;0),R42+Q56,0)</f>
        <v>0</v>
      </c>
      <c r="S56" s="42">
        <f>IF(AND(COUNTIF($E56:R56,0)=0,S42+R56&lt;0),S42+R56,0)</f>
        <v>0</v>
      </c>
      <c r="T56" s="42">
        <f>IF(AND(COUNTIF($E56:S56,0)=0,T42+S56&lt;0),T42+S56,0)</f>
        <v>0</v>
      </c>
      <c r="U56" s="42">
        <f>IF(AND(COUNTIF($E56:T56,0)=0,U42+T56&lt;0),U42+T56,0)</f>
        <v>0</v>
      </c>
      <c r="V56" s="42">
        <f>IF(AND(COUNTIF($E56:U56,0)=0,V42+U56&lt;0),V42+U56,0)</f>
        <v>0</v>
      </c>
      <c r="W56" s="42">
        <f>IF(AND(COUNTIF($E56:V56,0)=0,W42+V56&lt;0),W42+V56,0)</f>
        <v>0</v>
      </c>
      <c r="X56" s="42">
        <f>IF(AND(COUNTIF($E56:W56,0)=0,X42+W56&lt;0),X42+W56,0)</f>
        <v>0</v>
      </c>
    </row>
    <row r="57" spans="1:25">
      <c r="A57" s="5"/>
      <c r="B57" s="49"/>
      <c r="C57" s="41" t="s">
        <v>91</v>
      </c>
      <c r="D57" s="64"/>
      <c r="E57" s="42">
        <f t="shared" ref="E57:X57" si="23">IF(E42&lt;0,IF(E56=0,E42,0),0)</f>
        <v>0</v>
      </c>
      <c r="F57" s="42">
        <f t="shared" si="23"/>
        <v>0</v>
      </c>
      <c r="G57" s="42">
        <f t="shared" si="23"/>
        <v>-716</v>
      </c>
      <c r="H57" s="42">
        <f t="shared" si="23"/>
        <v>0</v>
      </c>
      <c r="I57" s="42">
        <f t="shared" si="23"/>
        <v>0</v>
      </c>
      <c r="J57" s="42">
        <f t="shared" si="23"/>
        <v>0</v>
      </c>
      <c r="K57" s="42">
        <f t="shared" si="23"/>
        <v>0</v>
      </c>
      <c r="L57" s="42">
        <f t="shared" si="23"/>
        <v>0</v>
      </c>
      <c r="M57" s="42">
        <f t="shared" si="23"/>
        <v>0</v>
      </c>
      <c r="N57" s="42">
        <f t="shared" si="23"/>
        <v>0</v>
      </c>
      <c r="O57" s="42">
        <f t="shared" si="23"/>
        <v>0</v>
      </c>
      <c r="P57" s="42">
        <f t="shared" si="23"/>
        <v>0</v>
      </c>
      <c r="Q57" s="42">
        <f t="shared" si="23"/>
        <v>-1232</v>
      </c>
      <c r="R57" s="42">
        <f t="shared" si="23"/>
        <v>0</v>
      </c>
      <c r="S57" s="42">
        <f t="shared" si="23"/>
        <v>0</v>
      </c>
      <c r="T57" s="42">
        <f t="shared" si="23"/>
        <v>0</v>
      </c>
      <c r="U57" s="42">
        <f t="shared" si="23"/>
        <v>0</v>
      </c>
      <c r="V57" s="42">
        <f t="shared" si="23"/>
        <v>0</v>
      </c>
      <c r="W57" s="42">
        <f t="shared" si="23"/>
        <v>-1627</v>
      </c>
      <c r="X57" s="42">
        <f t="shared" si="23"/>
        <v>0</v>
      </c>
    </row>
    <row r="58" spans="1:25">
      <c r="A58" s="5"/>
      <c r="B58" s="49"/>
      <c r="C58" s="43" t="s">
        <v>92</v>
      </c>
      <c r="D58" s="65"/>
      <c r="E58" s="44">
        <f>D$58+E$57</f>
        <v>0</v>
      </c>
      <c r="F58" s="44">
        <f t="shared" ref="F58:X58" si="24">E$58+F$57</f>
        <v>0</v>
      </c>
      <c r="G58" s="44">
        <f t="shared" si="24"/>
        <v>-716</v>
      </c>
      <c r="H58" s="44">
        <f t="shared" si="24"/>
        <v>-716</v>
      </c>
      <c r="I58" s="44">
        <f t="shared" si="24"/>
        <v>-716</v>
      </c>
      <c r="J58" s="44">
        <f t="shared" si="24"/>
        <v>-716</v>
      </c>
      <c r="K58" s="44">
        <f t="shared" si="24"/>
        <v>-716</v>
      </c>
      <c r="L58" s="44">
        <f t="shared" si="24"/>
        <v>-716</v>
      </c>
      <c r="M58" s="44">
        <f t="shared" si="24"/>
        <v>-716</v>
      </c>
      <c r="N58" s="44">
        <f t="shared" si="24"/>
        <v>-716</v>
      </c>
      <c r="O58" s="44">
        <f t="shared" si="24"/>
        <v>-716</v>
      </c>
      <c r="P58" s="44">
        <f t="shared" si="24"/>
        <v>-716</v>
      </c>
      <c r="Q58" s="44">
        <f t="shared" si="24"/>
        <v>-1948</v>
      </c>
      <c r="R58" s="44">
        <f t="shared" si="24"/>
        <v>-1948</v>
      </c>
      <c r="S58" s="44">
        <f t="shared" si="24"/>
        <v>-1948</v>
      </c>
      <c r="T58" s="44">
        <f t="shared" si="24"/>
        <v>-1948</v>
      </c>
      <c r="U58" s="44">
        <f t="shared" si="24"/>
        <v>-1948</v>
      </c>
      <c r="V58" s="44">
        <f t="shared" si="24"/>
        <v>-1948</v>
      </c>
      <c r="W58" s="44">
        <f t="shared" si="24"/>
        <v>-3575</v>
      </c>
      <c r="X58" s="44">
        <f t="shared" si="24"/>
        <v>-3575</v>
      </c>
    </row>
    <row r="59" spans="1:25">
      <c r="A59" s="5"/>
      <c r="B59" s="49"/>
      <c r="C59" s="66" t="s">
        <v>93</v>
      </c>
      <c r="D59" s="67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</row>
    <row r="60" spans="1:25">
      <c r="A60" s="5"/>
      <c r="B60" s="49"/>
      <c r="C60" s="69" t="s">
        <v>94</v>
      </c>
      <c r="D60" s="70"/>
      <c r="E60" s="68">
        <f t="shared" ref="E60:X60" si="25">IF(E42&lt;0,0,ROUNDDOWN((E35+(E34-E27))*(1-$E$15)*(1-E40),0))</f>
        <v>487</v>
      </c>
      <c r="F60" s="68">
        <f t="shared" si="25"/>
        <v>466</v>
      </c>
      <c r="G60" s="68">
        <f t="shared" si="25"/>
        <v>0</v>
      </c>
      <c r="H60" s="68">
        <f t="shared" si="25"/>
        <v>611</v>
      </c>
      <c r="I60" s="68">
        <f t="shared" si="25"/>
        <v>500</v>
      </c>
      <c r="J60" s="68">
        <f t="shared" si="25"/>
        <v>431</v>
      </c>
      <c r="K60" s="68">
        <f t="shared" si="25"/>
        <v>545</v>
      </c>
      <c r="L60" s="68">
        <f t="shared" si="25"/>
        <v>450</v>
      </c>
      <c r="M60" s="68">
        <f t="shared" si="25"/>
        <v>385</v>
      </c>
      <c r="N60" s="68">
        <f t="shared" si="25"/>
        <v>374</v>
      </c>
      <c r="O60" s="68">
        <f t="shared" si="25"/>
        <v>369</v>
      </c>
      <c r="P60" s="68">
        <f t="shared" si="25"/>
        <v>346</v>
      </c>
      <c r="Q60" s="68">
        <f t="shared" si="25"/>
        <v>0</v>
      </c>
      <c r="R60" s="68">
        <f t="shared" si="25"/>
        <v>321</v>
      </c>
      <c r="S60" s="68">
        <f t="shared" si="25"/>
        <v>293</v>
      </c>
      <c r="T60" s="68">
        <f t="shared" si="25"/>
        <v>284</v>
      </c>
      <c r="U60" s="68">
        <f t="shared" si="25"/>
        <v>276</v>
      </c>
      <c r="V60" s="68">
        <f t="shared" si="25"/>
        <v>267</v>
      </c>
      <c r="W60" s="68">
        <f t="shared" si="25"/>
        <v>0</v>
      </c>
      <c r="X60" s="68">
        <f t="shared" si="25"/>
        <v>260</v>
      </c>
    </row>
    <row r="61" spans="1:25">
      <c r="A61" s="5"/>
      <c r="B61" s="49"/>
      <c r="C61" s="69" t="s">
        <v>95</v>
      </c>
      <c r="D61" s="70"/>
      <c r="E61" s="68">
        <f t="shared" ref="E61:X61" si="26">IF(E42&lt;0,0,E42-E60)</f>
        <v>3567</v>
      </c>
      <c r="F61" s="68">
        <f t="shared" si="26"/>
        <v>526</v>
      </c>
      <c r="G61" s="68">
        <f t="shared" si="26"/>
        <v>0</v>
      </c>
      <c r="H61" s="68">
        <f t="shared" si="26"/>
        <v>0</v>
      </c>
      <c r="I61" s="68">
        <f t="shared" si="26"/>
        <v>0</v>
      </c>
      <c r="J61" s="68">
        <f t="shared" si="26"/>
        <v>0</v>
      </c>
      <c r="K61" s="68">
        <f t="shared" si="26"/>
        <v>0</v>
      </c>
      <c r="L61" s="68">
        <f t="shared" si="26"/>
        <v>0</v>
      </c>
      <c r="M61" s="68">
        <f t="shared" si="26"/>
        <v>0</v>
      </c>
      <c r="N61" s="68">
        <f t="shared" si="26"/>
        <v>0</v>
      </c>
      <c r="O61" s="68">
        <f t="shared" si="26"/>
        <v>0</v>
      </c>
      <c r="P61" s="68">
        <f t="shared" si="26"/>
        <v>0</v>
      </c>
      <c r="Q61" s="68">
        <f t="shared" si="26"/>
        <v>0</v>
      </c>
      <c r="R61" s="68">
        <f t="shared" si="26"/>
        <v>0</v>
      </c>
      <c r="S61" s="68">
        <f t="shared" si="26"/>
        <v>0</v>
      </c>
      <c r="T61" s="68">
        <f t="shared" si="26"/>
        <v>0</v>
      </c>
      <c r="U61" s="68">
        <f t="shared" si="26"/>
        <v>0</v>
      </c>
      <c r="V61" s="68">
        <f t="shared" si="26"/>
        <v>0</v>
      </c>
      <c r="W61" s="68">
        <f t="shared" si="26"/>
        <v>0</v>
      </c>
      <c r="X61" s="68">
        <f t="shared" si="26"/>
        <v>0</v>
      </c>
    </row>
    <row r="62" spans="1:25" ht="16.5">
      <c r="A62" s="5"/>
      <c r="B62" s="49"/>
      <c r="C62" s="69" t="s">
        <v>96</v>
      </c>
      <c r="D62" s="70"/>
      <c r="E62" s="68">
        <f t="shared" ref="E62:X62" si="27">ROUND(E$60*((DATE(YEAR(E$22),1,1)-DATE(YEAR(D$22),MONTH($E$17),DAY($E$17)))/(365+IF(MOD(YEAR(D$22),4),0,1))),0)</f>
        <v>285</v>
      </c>
      <c r="F62" s="68">
        <f t="shared" si="27"/>
        <v>273</v>
      </c>
      <c r="G62" s="68">
        <f t="shared" si="27"/>
        <v>0</v>
      </c>
      <c r="H62" s="68">
        <f t="shared" si="27"/>
        <v>358</v>
      </c>
      <c r="I62" s="68">
        <f t="shared" si="27"/>
        <v>292</v>
      </c>
      <c r="J62" s="68">
        <f t="shared" si="27"/>
        <v>253</v>
      </c>
      <c r="K62" s="68">
        <f t="shared" si="27"/>
        <v>320</v>
      </c>
      <c r="L62" s="68">
        <f t="shared" si="27"/>
        <v>264</v>
      </c>
      <c r="M62" s="68">
        <f t="shared" si="27"/>
        <v>225</v>
      </c>
      <c r="N62" s="68">
        <f t="shared" si="27"/>
        <v>219</v>
      </c>
      <c r="O62" s="68">
        <f t="shared" si="27"/>
        <v>216</v>
      </c>
      <c r="P62" s="68">
        <f t="shared" si="27"/>
        <v>203</v>
      </c>
      <c r="Q62" s="68">
        <f t="shared" si="27"/>
        <v>0</v>
      </c>
      <c r="R62" s="68">
        <f t="shared" si="27"/>
        <v>188</v>
      </c>
      <c r="S62" s="68">
        <f t="shared" si="27"/>
        <v>172</v>
      </c>
      <c r="T62" s="68">
        <f t="shared" si="27"/>
        <v>167</v>
      </c>
      <c r="U62" s="68">
        <f t="shared" si="27"/>
        <v>161</v>
      </c>
      <c r="V62" s="68">
        <f t="shared" si="27"/>
        <v>157</v>
      </c>
      <c r="W62" s="68">
        <f t="shared" si="27"/>
        <v>0</v>
      </c>
      <c r="X62" s="68">
        <f t="shared" si="27"/>
        <v>152</v>
      </c>
    </row>
    <row r="63" spans="1:25" ht="16.5">
      <c r="A63" s="5"/>
      <c r="B63" s="49"/>
      <c r="C63" s="69" t="s">
        <v>97</v>
      </c>
      <c r="D63" s="70"/>
      <c r="E63" s="68">
        <f t="shared" ref="E63:X63" si="28">ROUND(E$60*((DATE(YEAR(D$22),MONTH($E$17),DAY($E$17))-(DATE(YEAR(D$22),1,1)))/(365+IF(MOD(YEAR(D$22),4),0,1))),0)</f>
        <v>202</v>
      </c>
      <c r="F63" s="68">
        <f t="shared" si="28"/>
        <v>193</v>
      </c>
      <c r="G63" s="68">
        <f t="shared" si="28"/>
        <v>0</v>
      </c>
      <c r="H63" s="68">
        <f t="shared" si="28"/>
        <v>253</v>
      </c>
      <c r="I63" s="68">
        <f t="shared" si="28"/>
        <v>208</v>
      </c>
      <c r="J63" s="68">
        <f t="shared" si="28"/>
        <v>178</v>
      </c>
      <c r="K63" s="68">
        <f t="shared" si="28"/>
        <v>225</v>
      </c>
      <c r="L63" s="68">
        <f t="shared" si="28"/>
        <v>186</v>
      </c>
      <c r="M63" s="68">
        <f t="shared" si="28"/>
        <v>160</v>
      </c>
      <c r="N63" s="68">
        <f t="shared" si="28"/>
        <v>155</v>
      </c>
      <c r="O63" s="68">
        <f t="shared" si="28"/>
        <v>153</v>
      </c>
      <c r="P63" s="68">
        <f t="shared" si="28"/>
        <v>143</v>
      </c>
      <c r="Q63" s="68">
        <f t="shared" si="28"/>
        <v>0</v>
      </c>
      <c r="R63" s="68">
        <f t="shared" si="28"/>
        <v>133</v>
      </c>
      <c r="S63" s="68">
        <f t="shared" si="28"/>
        <v>121</v>
      </c>
      <c r="T63" s="68">
        <f t="shared" si="28"/>
        <v>117</v>
      </c>
      <c r="U63" s="68">
        <f t="shared" si="28"/>
        <v>115</v>
      </c>
      <c r="V63" s="68">
        <f t="shared" si="28"/>
        <v>110</v>
      </c>
      <c r="W63" s="68">
        <f t="shared" si="28"/>
        <v>0</v>
      </c>
      <c r="X63" s="68">
        <f t="shared" si="28"/>
        <v>108</v>
      </c>
    </row>
    <row r="64" spans="1:25" ht="16.5">
      <c r="A64" s="5"/>
      <c r="B64" s="49"/>
      <c r="C64" s="69" t="s">
        <v>98</v>
      </c>
      <c r="D64" s="70"/>
      <c r="E64" s="68">
        <f t="shared" ref="E64:X64" si="29">E46-E62</f>
        <v>2085</v>
      </c>
      <c r="F64" s="68">
        <f t="shared" si="29"/>
        <v>309</v>
      </c>
      <c r="G64" s="68">
        <f t="shared" si="29"/>
        <v>0</v>
      </c>
      <c r="H64" s="68">
        <f t="shared" si="29"/>
        <v>0</v>
      </c>
      <c r="I64" s="68">
        <f t="shared" si="29"/>
        <v>0</v>
      </c>
      <c r="J64" s="68">
        <f t="shared" si="29"/>
        <v>0</v>
      </c>
      <c r="K64" s="68">
        <f t="shared" si="29"/>
        <v>0</v>
      </c>
      <c r="L64" s="68">
        <f t="shared" si="29"/>
        <v>0</v>
      </c>
      <c r="M64" s="68">
        <f t="shared" si="29"/>
        <v>0</v>
      </c>
      <c r="N64" s="68">
        <f t="shared" si="29"/>
        <v>0</v>
      </c>
      <c r="O64" s="68">
        <f t="shared" si="29"/>
        <v>0</v>
      </c>
      <c r="P64" s="68">
        <f t="shared" si="29"/>
        <v>0</v>
      </c>
      <c r="Q64" s="68">
        <f t="shared" si="29"/>
        <v>0</v>
      </c>
      <c r="R64" s="68">
        <f t="shared" si="29"/>
        <v>0</v>
      </c>
      <c r="S64" s="68">
        <f t="shared" si="29"/>
        <v>0</v>
      </c>
      <c r="T64" s="68">
        <f t="shared" si="29"/>
        <v>0</v>
      </c>
      <c r="U64" s="68">
        <f t="shared" si="29"/>
        <v>0</v>
      </c>
      <c r="V64" s="68">
        <f t="shared" si="29"/>
        <v>0</v>
      </c>
      <c r="W64" s="68">
        <f t="shared" si="29"/>
        <v>0</v>
      </c>
      <c r="X64" s="68">
        <f t="shared" si="29"/>
        <v>0</v>
      </c>
    </row>
    <row r="65" spans="1:24" ht="16.5">
      <c r="A65" s="5"/>
      <c r="B65" s="49"/>
      <c r="C65" s="69" t="s">
        <v>99</v>
      </c>
      <c r="D65" s="70"/>
      <c r="E65" s="68">
        <f t="shared" ref="E65:X65" si="30">E47-E63</f>
        <v>1482</v>
      </c>
      <c r="F65" s="68">
        <f t="shared" si="30"/>
        <v>217</v>
      </c>
      <c r="G65" s="68">
        <f t="shared" si="30"/>
        <v>0</v>
      </c>
      <c r="H65" s="68">
        <f t="shared" si="30"/>
        <v>0</v>
      </c>
      <c r="I65" s="68">
        <f t="shared" si="30"/>
        <v>0</v>
      </c>
      <c r="J65" s="68">
        <f t="shared" si="30"/>
        <v>0</v>
      </c>
      <c r="K65" s="68">
        <f t="shared" si="30"/>
        <v>0</v>
      </c>
      <c r="L65" s="68">
        <f t="shared" si="30"/>
        <v>0</v>
      </c>
      <c r="M65" s="68">
        <f t="shared" si="30"/>
        <v>0</v>
      </c>
      <c r="N65" s="68">
        <f t="shared" si="30"/>
        <v>0</v>
      </c>
      <c r="O65" s="68">
        <f t="shared" si="30"/>
        <v>0</v>
      </c>
      <c r="P65" s="68">
        <f t="shared" si="30"/>
        <v>0</v>
      </c>
      <c r="Q65" s="68">
        <f t="shared" si="30"/>
        <v>0</v>
      </c>
      <c r="R65" s="68">
        <f t="shared" si="30"/>
        <v>0</v>
      </c>
      <c r="S65" s="68">
        <f t="shared" si="30"/>
        <v>0</v>
      </c>
      <c r="T65" s="68">
        <f t="shared" si="30"/>
        <v>0</v>
      </c>
      <c r="U65" s="68">
        <f t="shared" si="30"/>
        <v>0</v>
      </c>
      <c r="V65" s="68">
        <f t="shared" si="30"/>
        <v>0</v>
      </c>
      <c r="W65" s="68">
        <f t="shared" si="30"/>
        <v>0</v>
      </c>
      <c r="X65" s="68">
        <f t="shared" si="30"/>
        <v>0</v>
      </c>
    </row>
    <row r="66" spans="1:24">
      <c r="A66" s="5"/>
      <c r="B66" s="46"/>
      <c r="C66" s="38"/>
      <c r="D66" s="38"/>
      <c r="E66" s="38"/>
      <c r="F66" s="38"/>
      <c r="G66" s="38"/>
      <c r="H66" s="38"/>
      <c r="I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</row>
    <row r="67" spans="1:24">
      <c r="A67" s="5"/>
      <c r="B67" s="46"/>
      <c r="C67" s="3" t="s">
        <v>100</v>
      </c>
      <c r="D67" s="38">
        <f>D24+D25</f>
        <v>18758.947200000002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</row>
    <row r="68" spans="1:24">
      <c r="A68" s="5"/>
      <c r="B68" s="46"/>
      <c r="C68" s="3" t="s">
        <v>101</v>
      </c>
      <c r="D68" s="38">
        <f t="shared" ref="D68:X68" si="31">D24+D25</f>
        <v>18758.947200000002</v>
      </c>
      <c r="E68" s="38">
        <f t="shared" si="31"/>
        <v>13662.689600000002</v>
      </c>
      <c r="F68" s="38">
        <f t="shared" si="31"/>
        <v>10470.612800000001</v>
      </c>
      <c r="G68" s="38">
        <f t="shared" si="31"/>
        <v>11138.193599999999</v>
      </c>
      <c r="H68" s="38">
        <f t="shared" si="31"/>
        <v>12073.9792</v>
      </c>
      <c r="I68" s="38">
        <f t="shared" si="31"/>
        <v>12837.190399999999</v>
      </c>
      <c r="J68" s="38">
        <f t="shared" si="31"/>
        <v>13517.961599999999</v>
      </c>
      <c r="K68" s="38">
        <f t="shared" si="31"/>
        <v>14364.712</v>
      </c>
      <c r="L68" s="38">
        <f t="shared" si="31"/>
        <v>12668.280000000002</v>
      </c>
      <c r="M68" s="38">
        <f t="shared" si="31"/>
        <v>13271.7408</v>
      </c>
      <c r="N68" s="38">
        <f t="shared" si="31"/>
        <v>13880.331200000002</v>
      </c>
      <c r="O68" s="38">
        <f t="shared" si="31"/>
        <v>11494.334400000002</v>
      </c>
      <c r="P68" s="38">
        <f t="shared" si="31"/>
        <v>12137.7328</v>
      </c>
      <c r="Q68" s="38">
        <f t="shared" si="31"/>
        <v>12832.060799999997</v>
      </c>
      <c r="R68" s="38">
        <f t="shared" si="31"/>
        <v>10538.396800000002</v>
      </c>
      <c r="S68" s="38">
        <f t="shared" si="31"/>
        <v>11206.7104</v>
      </c>
      <c r="T68" s="38">
        <f t="shared" si="31"/>
        <v>11881.619200000001</v>
      </c>
      <c r="U68" s="38">
        <f t="shared" si="31"/>
        <v>12937.217600000002</v>
      </c>
      <c r="V68" s="38">
        <f t="shared" si="31"/>
        <v>14012.968000000001</v>
      </c>
      <c r="W68" s="38">
        <f t="shared" si="31"/>
        <v>14849.8256</v>
      </c>
      <c r="X68" s="38">
        <f t="shared" si="31"/>
        <v>12608.5568</v>
      </c>
    </row>
    <row r="69" spans="1:24">
      <c r="A69" s="5"/>
      <c r="B69" s="46"/>
      <c r="C69" s="3" t="s">
        <v>102</v>
      </c>
      <c r="D69" s="38">
        <f>IF(SUM($D29:D29)=1,D28,D24+D25)</f>
        <v>18758.947200000002</v>
      </c>
      <c r="E69" s="38">
        <f>IF(SUM($D29:E29)=1,E28,E24+E25)</f>
        <v>13662.689600000002</v>
      </c>
      <c r="F69" s="38">
        <f>IF(SUM($D29:F29)=1,F28,F24+F25)</f>
        <v>12911.621942857144</v>
      </c>
      <c r="G69" s="38">
        <f>IF(SUM($D29:G29)=1,G28,G24+G25)</f>
        <v>12911.621942857144</v>
      </c>
      <c r="H69" s="38">
        <f>IF(SUM($D29:H29)=1,H28,H24+H25)</f>
        <v>12911.621942857144</v>
      </c>
      <c r="I69" s="38">
        <f>IF(SUM($D29:I29)=1,I28,I24+I25)</f>
        <v>12911.621942857144</v>
      </c>
      <c r="J69" s="38">
        <f>IF(SUM($D29:J29)=1,J28,J24+J25)</f>
        <v>12911.621942857144</v>
      </c>
      <c r="K69" s="38">
        <f>IF(SUM($D29:K29)=1,K28,K24+K25)</f>
        <v>12911.621942857144</v>
      </c>
      <c r="L69" s="38">
        <f>IF(SUM($D29:L29)=1,L28,L24+L25)</f>
        <v>12911.621942857144</v>
      </c>
      <c r="M69" s="38">
        <f>IF(SUM($D29:M29)=1,M28,M24+M25)</f>
        <v>12911.621942857144</v>
      </c>
      <c r="N69" s="38">
        <f>IF(SUM($D29:N29)=1,N28,N24+N25)</f>
        <v>12911.621942857144</v>
      </c>
      <c r="O69" s="38">
        <f>IF(SUM($D29:O29)=1,O28,O24+O25)</f>
        <v>12911.621942857144</v>
      </c>
      <c r="P69" s="38">
        <f>IF(SUM($D29:P29)=1,P28,P24+P25)</f>
        <v>12911.621942857144</v>
      </c>
      <c r="Q69" s="38">
        <f>IF(SUM($D29:Q29)=1,Q28,Q24+Q25)</f>
        <v>12911.621942857144</v>
      </c>
      <c r="R69" s="38">
        <f>IF(SUM($D29:R29)=1,R28,R24+R25)</f>
        <v>12911.621942857144</v>
      </c>
      <c r="S69" s="38">
        <f>IF(SUM($D29:S29)=1,S28,S24+S25)</f>
        <v>12911.621942857144</v>
      </c>
      <c r="T69" s="38">
        <f>IF(SUM($D29:T29)=1,T28,T24+T25)</f>
        <v>12911.621942857144</v>
      </c>
      <c r="U69" s="38">
        <f>IF(SUM($D29:U29)=1,U28,U24+U25)</f>
        <v>12911.621942857144</v>
      </c>
      <c r="V69" s="38">
        <f>IF(SUM($D29:V29)=1,V28,V24+V25)</f>
        <v>12911.621942857144</v>
      </c>
      <c r="W69" s="38">
        <f>IF(SUM($D29:W29)=1,W28,W24+W25)</f>
        <v>12911.621942857144</v>
      </c>
      <c r="X69" s="38">
        <f>IF(SUM($D29:X29)=1,X28,X24+X25)</f>
        <v>12911.621942857144</v>
      </c>
    </row>
    <row r="70" spans="1:24">
      <c r="A70" s="5"/>
      <c r="B70" s="46"/>
      <c r="C70" s="3" t="s">
        <v>103</v>
      </c>
      <c r="D70" s="38">
        <f t="shared" ref="D70:X70" si="32">D32+D33</f>
        <v>18758.947200000002</v>
      </c>
      <c r="E70" s="38">
        <f t="shared" si="32"/>
        <v>19596.171199999997</v>
      </c>
      <c r="F70" s="38">
        <f t="shared" si="32"/>
        <v>20404.4496</v>
      </c>
      <c r="G70" s="38">
        <f t="shared" si="32"/>
        <v>19249.556799999998</v>
      </c>
      <c r="H70" s="38">
        <f t="shared" si="32"/>
        <v>20264.484800000006</v>
      </c>
      <c r="I70" s="38">
        <f t="shared" si="32"/>
        <v>21120.395199999999</v>
      </c>
      <c r="J70" s="38">
        <f t="shared" si="32"/>
        <v>21877.377600000003</v>
      </c>
      <c r="K70" s="38">
        <f t="shared" si="32"/>
        <v>22797.774400000002</v>
      </c>
      <c r="L70" s="38">
        <f t="shared" si="32"/>
        <v>23582.236799999999</v>
      </c>
      <c r="M70" s="38">
        <f t="shared" si="32"/>
        <v>24274</v>
      </c>
      <c r="N70" s="38">
        <f t="shared" si="32"/>
        <v>24950.007999999998</v>
      </c>
      <c r="O70" s="38">
        <f t="shared" si="32"/>
        <v>25619.054400000001</v>
      </c>
      <c r="P70" s="38">
        <f t="shared" si="32"/>
        <v>26255.109428081138</v>
      </c>
      <c r="Q70" s="38">
        <f t="shared" si="32"/>
        <v>24271.467753139201</v>
      </c>
      <c r="R70" s="38">
        <f t="shared" si="32"/>
        <v>24872.04527819726</v>
      </c>
      <c r="S70" s="38">
        <f t="shared" si="32"/>
        <v>25432.318803255326</v>
      </c>
      <c r="T70" s="38">
        <f t="shared" si="32"/>
        <v>25979.768328313388</v>
      </c>
      <c r="U70" s="38">
        <f t="shared" si="32"/>
        <v>26516.225853371448</v>
      </c>
      <c r="V70" s="38">
        <f t="shared" si="32"/>
        <v>27039.859378429508</v>
      </c>
      <c r="W70" s="38">
        <f t="shared" si="32"/>
        <v>24401.460903487572</v>
      </c>
      <c r="X70" s="38">
        <f t="shared" si="32"/>
        <v>24914.102428545633</v>
      </c>
    </row>
    <row r="73" spans="1:24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</row>
    <row r="74" spans="1:24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</row>
    <row r="76" spans="1:24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</row>
    <row r="79" spans="1:24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</row>
  </sheetData>
  <mergeCells count="14">
    <mergeCell ref="J8:R8"/>
    <mergeCell ref="I7:S7"/>
    <mergeCell ref="K9:Q9"/>
    <mergeCell ref="C17:D17"/>
    <mergeCell ref="C15:D15"/>
    <mergeCell ref="C16:D16"/>
    <mergeCell ref="C14:D14"/>
    <mergeCell ref="A13:B13"/>
    <mergeCell ref="C13:D13"/>
    <mergeCell ref="O13:R13"/>
    <mergeCell ref="O14:R14"/>
    <mergeCell ref="C12:E12"/>
    <mergeCell ref="O12:S12"/>
    <mergeCell ref="A14:B14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9"/>
  <sheetViews>
    <sheetView zoomScaleNormal="100" workbookViewId="0"/>
  </sheetViews>
  <sheetFormatPr defaultRowHeight="14.5"/>
  <sheetData>
    <row r="1" spans="1:1">
      <c r="A1" s="2" t="s">
        <v>109</v>
      </c>
    </row>
    <row r="22" spans="1:1">
      <c r="A22" s="2" t="s">
        <v>110</v>
      </c>
    </row>
    <row r="44" spans="1:1">
      <c r="A44" s="2"/>
    </row>
    <row r="68" spans="1:1">
      <c r="A68" s="2"/>
    </row>
    <row r="89" spans="7:7">
      <c r="G89" t="s">
        <v>111</v>
      </c>
    </row>
  </sheetData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d54e9f-ac00-43e1-92ed-67ff343640da" xsi:nil="true"/>
    <lcf76f155ced4ddcb4097134ff3c332f xmlns="1a28805d-6434-461d-b801-40e6196003a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75E302EF51E04D9DDA3DA9AF51D412" ma:contentTypeVersion="5540" ma:contentTypeDescription="Create a new document." ma:contentTypeScope="" ma:versionID="4a80bd2f53ced535a7e453ff7beb348d">
  <xsd:schema xmlns:xsd="http://www.w3.org/2001/XMLSchema" xmlns:xs="http://www.w3.org/2001/XMLSchema" xmlns:p="http://schemas.microsoft.com/office/2006/metadata/properties" xmlns:ns2="57536742-d7eb-4eb0-8cdb-d69a6240b5bc" xmlns:ns3="1a28805d-6434-461d-b801-40e6196003a0" xmlns:ns4="e42c8a2f-dd3e-41c1-bb92-09c27bffbaa7" xmlns:ns5="abd54e9f-ac00-43e1-92ed-67ff343640da" targetNamespace="http://schemas.microsoft.com/office/2006/metadata/properties" ma:root="true" ma:fieldsID="f3fa5b0d74fd801c755a0e47ca8caddb" ns2:_="" ns3:_="" ns4:_="" ns5:_="">
    <xsd:import namespace="57536742-d7eb-4eb0-8cdb-d69a6240b5bc"/>
    <xsd:import namespace="1a28805d-6434-461d-b801-40e6196003a0"/>
    <xsd:import namespace="e42c8a2f-dd3e-41c1-bb92-09c27bffbaa7"/>
    <xsd:import namespace="abd54e9f-ac00-43e1-92ed-67ff343640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36742-d7eb-4eb0-8cdb-d69a6240b5bc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28805d-6434-461d-b801-40e6196003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771c2b29-a11c-43ed-8b00-f264793a87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c8a2f-dd3e-41c1-bb92-09c27bffbaa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d54e9f-ac00-43e1-92ed-67ff343640da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53d95a9d-c394-4146-a844-2453be9b8793}" ma:internalName="TaxCatchAll" ma:showField="CatchAllData" ma:web="57536742-d7eb-4eb0-8cdb-d69a6240b5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7E57055D-169D-469A-9D41-70D1AEA684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C553DA-C2F0-42F2-954D-F40E7963ADAF}">
  <ds:schemaRefs>
    <ds:schemaRef ds:uri="57536742-d7eb-4eb0-8cdb-d69a6240b5bc"/>
    <ds:schemaRef ds:uri="e42c8a2f-dd3e-41c1-bb92-09c27bffbaa7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abd54e9f-ac00-43e1-92ed-67ff343640da"/>
    <ds:schemaRef ds:uri="1a28805d-6434-461d-b801-40e6196003a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9FC483B-4149-460A-8832-9A4B37A126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536742-d7eb-4eb0-8cdb-d69a6240b5bc"/>
    <ds:schemaRef ds:uri="1a28805d-6434-461d-b801-40e6196003a0"/>
    <ds:schemaRef ds:uri="e42c8a2f-dd3e-41c1-bb92-09c27bffbaa7"/>
    <ds:schemaRef ds:uri="abd54e9f-ac00-43e1-92ed-67ff34364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ED3097A-12E5-4E62-AD5A-019BA8644E0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 and Version</vt:lpstr>
      <vt:lpstr>Example A-No Harvest Project</vt:lpstr>
      <vt:lpstr>Example B-Light Harvest Project</vt:lpstr>
      <vt:lpstr>Graphs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Carbon Registry</dc:creator>
  <cp:keywords/>
  <dc:description/>
  <cp:revision/>
  <dcterms:created xsi:type="dcterms:W3CDTF">2011-08-18T13:23:13Z</dcterms:created>
  <dcterms:modified xsi:type="dcterms:W3CDTF">2022-07-12T15:59:16Z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d367d-9e3b-49e5-aa9a-caafdafee3aa_Enabled">
    <vt:lpwstr>true</vt:lpwstr>
  </property>
  <property fmtid="{D5CDD505-2E9C-101B-9397-08002B2CF9AE}" pid="3" name="MSIP_Label_65bd367d-9e3b-49e5-aa9a-caafdafee3aa_SetDate">
    <vt:lpwstr>2021-04-13T22:15:32Z</vt:lpwstr>
  </property>
  <property fmtid="{D5CDD505-2E9C-101B-9397-08002B2CF9AE}" pid="4" name="MSIP_Label_65bd367d-9e3b-49e5-aa9a-caafdafee3aa_Method">
    <vt:lpwstr>Standard</vt:lpwstr>
  </property>
  <property fmtid="{D5CDD505-2E9C-101B-9397-08002B2CF9AE}" pid="5" name="MSIP_Label_65bd367d-9e3b-49e5-aa9a-caafdafee3aa_Name">
    <vt:lpwstr>65bd367d-9e3b-49e5-aa9a-caafdafee3aa</vt:lpwstr>
  </property>
  <property fmtid="{D5CDD505-2E9C-101B-9397-08002B2CF9AE}" pid="6" name="MSIP_Label_65bd367d-9e3b-49e5-aa9a-caafdafee3aa_SiteId">
    <vt:lpwstr>9be3e276-28d8-4cd8-8f84-02cf1911da9c</vt:lpwstr>
  </property>
  <property fmtid="{D5CDD505-2E9C-101B-9397-08002B2CF9AE}" pid="7" name="MSIP_Label_65bd367d-9e3b-49e5-aa9a-caafdafee3aa_ActionId">
    <vt:lpwstr>3130c0af-24fd-48ef-852b-f72f2efa6fbb</vt:lpwstr>
  </property>
  <property fmtid="{D5CDD505-2E9C-101B-9397-08002B2CF9AE}" pid="8" name="MSIP_Label_65bd367d-9e3b-49e5-aa9a-caafdafee3aa_ContentBits">
    <vt:lpwstr>0</vt:lpwstr>
  </property>
  <property fmtid="{D5CDD505-2E9C-101B-9397-08002B2CF9AE}" pid="9" name="ContentTypeId">
    <vt:lpwstr>0x0101001975E302EF51E04D9DDA3DA9AF51D412</vt:lpwstr>
  </property>
  <property fmtid="{D5CDD505-2E9C-101B-9397-08002B2CF9AE}" pid="10" name="MediaServiceImageTags">
    <vt:lpwstr/>
  </property>
</Properties>
</file>