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B6" lockStructure="1"/>
  <bookViews>
    <workbookView xWindow="480" yWindow="276" windowWidth="16608" windowHeight="9432" tabRatio="880"/>
  </bookViews>
  <sheets>
    <sheet name="Coversheet" sheetId="1" r:id="rId1"/>
    <sheet name="Purpose and Applicability" sheetId="2" r:id="rId2"/>
    <sheet name="T-XANTE" sheetId="20" r:id="rId3"/>
    <sheet name="BIOTIC" sheetId="10" r:id="rId4"/>
    <sheet name="ENTERIC" sheetId="12" r:id="rId5"/>
    <sheet name="MANURE" sheetId="17" r:id="rId6"/>
    <sheet name="FERTILIZER" sheetId="15" r:id="rId7"/>
    <sheet name="FOSSIL FUEL" sheetId="13" r:id="rId8"/>
    <sheet name="Biotic Data" sheetId="11" state="hidden" r:id="rId9"/>
    <sheet name="Fertilizer Data" sheetId="19" state="hidden" r:id="rId10"/>
    <sheet name="Enteric Data" sheetId="21" state="hidden" r:id="rId11"/>
    <sheet name="Manure Data" sheetId="18" state="hidden" r:id="rId12"/>
    <sheet name="Fossil Fuel Data" sheetId="14" state="hidden" r:id="rId13"/>
  </sheets>
  <definedNames>
    <definedName name="ClimateRegions">'Biotic Data'!$A$2:$A$13</definedName>
    <definedName name="CropInputs1">'Biotic Data'!$G$2:$G$6</definedName>
    <definedName name="CropMgmt1">'Biotic Data'!$F$2:$F$5</definedName>
    <definedName name="GeographicRegions">'Biotic Data'!$I$2:$I$10</definedName>
    <definedName name="GrassInputs1">'Biotic Data'!$E$2:$E$4</definedName>
    <definedName name="GrassMgmt1">'Biotic Data'!$D$2:$D$6</definedName>
    <definedName name="LandCover">'Biotic Data'!$C$2:$C$3</definedName>
    <definedName name="LandCoverType">'Biotic Data'!$C$2:$C$5</definedName>
    <definedName name="MMRegions">#REF!</definedName>
    <definedName name="SoilTypes">'Biotic Data'!$B$2:$B$7</definedName>
    <definedName name="Temp">#REF!</definedName>
    <definedName name="TreePlanting">'Biotic Data'!$H$2:$H$3</definedName>
  </definedNames>
  <calcPr calcId="145621"/>
</workbook>
</file>

<file path=xl/calcChain.xml><?xml version="1.0" encoding="utf-8"?>
<calcChain xmlns="http://schemas.openxmlformats.org/spreadsheetml/2006/main">
  <c r="I12" i="14" l="1"/>
  <c r="H12" i="14"/>
  <c r="I11" i="14"/>
  <c r="H11" i="14"/>
  <c r="I10" i="14"/>
  <c r="H10" i="14"/>
  <c r="I9" i="14"/>
  <c r="H9" i="14"/>
  <c r="I8" i="14"/>
  <c r="H8" i="14"/>
  <c r="I7" i="14"/>
  <c r="H7" i="14"/>
  <c r="I6" i="14"/>
  <c r="H6" i="14"/>
  <c r="I5" i="14"/>
  <c r="H5" i="14"/>
  <c r="I4" i="14"/>
  <c r="H4" i="14"/>
  <c r="I3" i="14"/>
  <c r="H3" i="14"/>
  <c r="I2" i="14"/>
  <c r="H2" i="14"/>
  <c r="W10" i="21"/>
  <c r="V10" i="21"/>
  <c r="U10" i="21"/>
  <c r="T10" i="21"/>
  <c r="I10" i="21"/>
  <c r="S10" i="21"/>
  <c r="J10" i="21"/>
  <c r="S22" i="12" l="1"/>
  <c r="R22" i="12"/>
  <c r="Q22" i="12"/>
  <c r="P22" i="12"/>
  <c r="N22" i="12"/>
  <c r="M22" i="12"/>
  <c r="L22" i="12"/>
  <c r="J22" i="12"/>
  <c r="I22" i="12"/>
  <c r="H22" i="12"/>
  <c r="G22" i="12"/>
  <c r="E22" i="12"/>
  <c r="D22" i="12"/>
  <c r="C22" i="12"/>
  <c r="B36" i="12"/>
  <c r="B35" i="12"/>
  <c r="B34" i="12"/>
  <c r="B33" i="12"/>
  <c r="B32" i="12"/>
  <c r="B31" i="12"/>
  <c r="B30" i="12"/>
  <c r="F36" i="18"/>
  <c r="F39" i="18"/>
  <c r="F38" i="18"/>
  <c r="F37" i="18"/>
  <c r="F35" i="18"/>
  <c r="I46" i="18"/>
  <c r="I39" i="18"/>
  <c r="I38" i="18"/>
  <c r="I37" i="18"/>
  <c r="I36" i="18"/>
  <c r="I35" i="18"/>
  <c r="J39" i="18"/>
  <c r="J37" i="18"/>
  <c r="J36" i="18"/>
  <c r="J35" i="18"/>
  <c r="J54" i="18"/>
  <c r="J53" i="18"/>
  <c r="J52" i="18"/>
  <c r="J51" i="18"/>
  <c r="J50" i="18"/>
  <c r="J49" i="18"/>
  <c r="J48" i="18"/>
  <c r="J47" i="18"/>
  <c r="J46" i="18"/>
  <c r="J45" i="18"/>
  <c r="J44" i="18"/>
  <c r="J43" i="18"/>
  <c r="J42" i="18"/>
  <c r="J41" i="18"/>
  <c r="J40" i="18"/>
  <c r="J38" i="18"/>
  <c r="I54" i="18"/>
  <c r="I53" i="18"/>
  <c r="I52" i="18"/>
  <c r="I51" i="18"/>
  <c r="I50" i="18"/>
  <c r="I49" i="18"/>
  <c r="I48" i="18"/>
  <c r="I47" i="18"/>
  <c r="I45" i="18"/>
  <c r="I44" i="18"/>
  <c r="I43" i="18"/>
  <c r="I41" i="18"/>
  <c r="F54" i="18"/>
  <c r="F53" i="18"/>
  <c r="F52" i="18"/>
  <c r="F51" i="18"/>
  <c r="F50" i="18"/>
  <c r="F49" i="18"/>
  <c r="F48" i="18"/>
  <c r="F47" i="18"/>
  <c r="F46" i="18"/>
  <c r="F45" i="18"/>
  <c r="F44" i="18"/>
  <c r="F43" i="18"/>
  <c r="F42" i="18"/>
  <c r="F41" i="18"/>
  <c r="F40" i="18"/>
  <c r="D54" i="18"/>
  <c r="D53" i="18"/>
  <c r="D52" i="18"/>
  <c r="D51" i="18"/>
  <c r="D50" i="18"/>
  <c r="D49" i="18"/>
  <c r="D48" i="18"/>
  <c r="D47" i="18"/>
  <c r="D46" i="18"/>
  <c r="D45" i="18"/>
  <c r="D44" i="18"/>
  <c r="D43" i="18"/>
  <c r="D42" i="18"/>
  <c r="D41" i="18"/>
  <c r="D40" i="18"/>
  <c r="D39" i="18"/>
  <c r="D38" i="18"/>
  <c r="D37" i="18"/>
  <c r="D36" i="18"/>
  <c r="D35" i="18"/>
  <c r="C15" i="18"/>
  <c r="P91" i="21"/>
  <c r="C14" i="18" l="1"/>
  <c r="C16" i="18" s="1"/>
  <c r="W16" i="21" l="1"/>
  <c r="U5" i="18" s="1"/>
  <c r="V16" i="21"/>
  <c r="T5" i="18" s="1"/>
  <c r="U16" i="21"/>
  <c r="S5" i="18" s="1"/>
  <c r="T16" i="21"/>
  <c r="R5" i="18" s="1"/>
  <c r="S16" i="21"/>
  <c r="Q5" i="18" s="1"/>
  <c r="Q16" i="21"/>
  <c r="O5" i="18" s="1"/>
  <c r="P16" i="21"/>
  <c r="N5" i="18" s="1"/>
  <c r="W22" i="21"/>
  <c r="V22" i="21"/>
  <c r="U22" i="21"/>
  <c r="T22" i="21"/>
  <c r="S22" i="21"/>
  <c r="R22" i="21"/>
  <c r="Q22" i="21"/>
  <c r="P22" i="21"/>
  <c r="O22" i="21"/>
  <c r="F16" i="21"/>
  <c r="D5" i="18" s="1"/>
  <c r="I16" i="21"/>
  <c r="G5" i="18" s="1"/>
  <c r="J16" i="21"/>
  <c r="H5" i="18" s="1"/>
  <c r="K16" i="21"/>
  <c r="I5" i="18" s="1"/>
  <c r="L16" i="21"/>
  <c r="J5" i="18" s="1"/>
  <c r="M16" i="21"/>
  <c r="K5" i="18" s="1"/>
  <c r="M22" i="21"/>
  <c r="L22" i="21"/>
  <c r="K22" i="21"/>
  <c r="J22" i="21"/>
  <c r="I22" i="21"/>
  <c r="H22" i="21"/>
  <c r="F22" i="21"/>
  <c r="G22" i="21"/>
  <c r="AA129" i="21"/>
  <c r="Y127" i="21"/>
  <c r="X127" i="21"/>
  <c r="AB126" i="21"/>
  <c r="Y126" i="21"/>
  <c r="X126" i="21"/>
  <c r="Y125" i="21"/>
  <c r="O129" i="21"/>
  <c r="R127" i="21"/>
  <c r="N127" i="21"/>
  <c r="M127" i="21"/>
  <c r="S126" i="21"/>
  <c r="O126" i="21"/>
  <c r="M126" i="21"/>
  <c r="L127" i="21"/>
  <c r="L126" i="21"/>
  <c r="K129" i="21"/>
  <c r="Y129" i="21" s="1"/>
  <c r="K128" i="21"/>
  <c r="X128" i="21" s="1"/>
  <c r="K127" i="21"/>
  <c r="Z127" i="21" s="1"/>
  <c r="K126" i="21"/>
  <c r="W126" i="21" s="1"/>
  <c r="K125" i="21"/>
  <c r="U125" i="21" s="1"/>
  <c r="K124" i="21"/>
  <c r="AB124" i="21" s="1"/>
  <c r="K123" i="21"/>
  <c r="Z123" i="21" s="1"/>
  <c r="Z118" i="21"/>
  <c r="V118" i="21"/>
  <c r="AB117" i="21"/>
  <c r="AA116" i="21"/>
  <c r="Q118" i="21"/>
  <c r="R117" i="21"/>
  <c r="N117" i="21"/>
  <c r="O116" i="21"/>
  <c r="K119" i="21"/>
  <c r="V119" i="21" s="1"/>
  <c r="K118" i="21"/>
  <c r="O118" i="21" s="1"/>
  <c r="K117" i="21"/>
  <c r="X117" i="21" s="1"/>
  <c r="K116" i="21"/>
  <c r="Z116" i="21" s="1"/>
  <c r="K115" i="21"/>
  <c r="AA115" i="21" s="1"/>
  <c r="K114" i="21"/>
  <c r="W114" i="21" s="1"/>
  <c r="K113" i="21"/>
  <c r="M113" i="21" s="1"/>
  <c r="AB106" i="21"/>
  <c r="X106" i="21"/>
  <c r="W106" i="21"/>
  <c r="AA103" i="21"/>
  <c r="Z103" i="21"/>
  <c r="V103" i="21"/>
  <c r="U103" i="21"/>
  <c r="Z102" i="21"/>
  <c r="V102" i="21"/>
  <c r="U102" i="21"/>
  <c r="V4" i="21"/>
  <c r="V5" i="21" s="1"/>
  <c r="M10" i="21"/>
  <c r="L10" i="21"/>
  <c r="L5" i="21"/>
  <c r="L6" i="21" s="1"/>
  <c r="S103" i="21"/>
  <c r="K106" i="21"/>
  <c r="K105" i="21"/>
  <c r="Z105" i="21" s="1"/>
  <c r="K104" i="21"/>
  <c r="K103" i="21"/>
  <c r="R103" i="21" s="1"/>
  <c r="K102" i="21"/>
  <c r="R102" i="21" s="1"/>
  <c r="K101" i="21"/>
  <c r="U101" i="21" s="1"/>
  <c r="K100" i="21"/>
  <c r="AB96" i="21"/>
  <c r="AA96" i="21"/>
  <c r="Z96" i="21"/>
  <c r="Y96" i="21"/>
  <c r="X96" i="21"/>
  <c r="W96" i="21"/>
  <c r="V96" i="21"/>
  <c r="U96" i="21"/>
  <c r="AB95" i="21"/>
  <c r="AA95" i="21"/>
  <c r="Z95" i="21"/>
  <c r="Y95" i="21"/>
  <c r="X95" i="21"/>
  <c r="W95" i="21"/>
  <c r="V95" i="21"/>
  <c r="U95" i="21"/>
  <c r="AB94" i="21"/>
  <c r="AA94" i="21"/>
  <c r="Z94" i="21"/>
  <c r="Y94" i="21"/>
  <c r="X94" i="21"/>
  <c r="W94" i="21"/>
  <c r="V94" i="21"/>
  <c r="U94" i="21"/>
  <c r="AB93" i="21"/>
  <c r="AA93" i="21"/>
  <c r="Z93" i="21"/>
  <c r="Y93" i="21"/>
  <c r="X93" i="21"/>
  <c r="W93" i="21"/>
  <c r="V93" i="21"/>
  <c r="U93" i="21"/>
  <c r="AB92" i="21"/>
  <c r="AA92" i="21"/>
  <c r="Z92" i="21"/>
  <c r="Y92" i="21"/>
  <c r="X92" i="21"/>
  <c r="W92" i="21"/>
  <c r="V92" i="21"/>
  <c r="U92" i="21"/>
  <c r="AB91" i="21"/>
  <c r="AA91" i="21"/>
  <c r="Z91" i="21"/>
  <c r="Y91" i="21"/>
  <c r="X91" i="21"/>
  <c r="W91" i="21"/>
  <c r="V91" i="21"/>
  <c r="U91" i="21"/>
  <c r="AB90" i="21"/>
  <c r="AA90" i="21"/>
  <c r="Z90" i="21"/>
  <c r="Y90" i="21"/>
  <c r="X90" i="21"/>
  <c r="W90" i="21"/>
  <c r="V90" i="21"/>
  <c r="U90" i="21"/>
  <c r="S96" i="21"/>
  <c r="R96" i="21"/>
  <c r="Q96" i="21"/>
  <c r="P96" i="21"/>
  <c r="O96" i="21"/>
  <c r="N96" i="21"/>
  <c r="M96" i="21"/>
  <c r="L96" i="21"/>
  <c r="S95" i="21"/>
  <c r="R95" i="21"/>
  <c r="Q95" i="21"/>
  <c r="P95" i="21"/>
  <c r="O95" i="21"/>
  <c r="N95" i="21"/>
  <c r="M95" i="21"/>
  <c r="L95" i="21"/>
  <c r="S94" i="21"/>
  <c r="R94" i="21"/>
  <c r="Q94" i="21"/>
  <c r="P94" i="21"/>
  <c r="O94" i="21"/>
  <c r="N94" i="21"/>
  <c r="M94" i="21"/>
  <c r="L94" i="21"/>
  <c r="S93" i="21"/>
  <c r="R93" i="21"/>
  <c r="Q93" i="21"/>
  <c r="P93" i="21"/>
  <c r="O93" i="21"/>
  <c r="N93" i="21"/>
  <c r="M93" i="21"/>
  <c r="L93" i="21"/>
  <c r="S92" i="21"/>
  <c r="R92" i="21"/>
  <c r="Q92" i="21"/>
  <c r="P92" i="21"/>
  <c r="O92" i="21"/>
  <c r="N92" i="21"/>
  <c r="M92" i="21"/>
  <c r="L92" i="21"/>
  <c r="S91" i="21"/>
  <c r="R91" i="21"/>
  <c r="Q91" i="21"/>
  <c r="O91" i="21"/>
  <c r="N91" i="21"/>
  <c r="M91" i="21"/>
  <c r="L91" i="21"/>
  <c r="S90" i="21"/>
  <c r="R90" i="21"/>
  <c r="Q90" i="21"/>
  <c r="P90" i="21"/>
  <c r="O90" i="21"/>
  <c r="N90" i="21"/>
  <c r="M90" i="21"/>
  <c r="L90" i="21"/>
  <c r="K96" i="21"/>
  <c r="K95" i="21"/>
  <c r="K94" i="21"/>
  <c r="K93" i="21"/>
  <c r="K92" i="21"/>
  <c r="K91" i="21"/>
  <c r="K90" i="21"/>
  <c r="C40" i="12"/>
  <c r="O9" i="21" s="1"/>
  <c r="S23" i="12"/>
  <c r="R23" i="12"/>
  <c r="Q23" i="12"/>
  <c r="P23" i="12"/>
  <c r="O23" i="12"/>
  <c r="N23" i="12"/>
  <c r="M23" i="12"/>
  <c r="L23" i="12"/>
  <c r="J23" i="12"/>
  <c r="I23" i="12"/>
  <c r="H23" i="12"/>
  <c r="G23" i="12"/>
  <c r="F23" i="12"/>
  <c r="E23" i="12"/>
  <c r="D23" i="12"/>
  <c r="C23" i="12"/>
  <c r="W9" i="21"/>
  <c r="O22" i="12"/>
  <c r="P9" i="21"/>
  <c r="F22" i="12"/>
  <c r="E22" i="21"/>
  <c r="M16" i="12"/>
  <c r="R16" i="21" s="1"/>
  <c r="P5" i="18" s="1"/>
  <c r="L16" i="12"/>
  <c r="O16" i="21" s="1"/>
  <c r="M5" i="18" s="1"/>
  <c r="D16" i="12"/>
  <c r="G16" i="21" s="1"/>
  <c r="E5" i="18" s="1"/>
  <c r="C16" i="12"/>
  <c r="E16" i="21" s="1"/>
  <c r="C5" i="18" s="1"/>
  <c r="C80" i="21"/>
  <c r="B75" i="21"/>
  <c r="C74" i="21"/>
  <c r="B74" i="21"/>
  <c r="C73" i="21"/>
  <c r="B73" i="21"/>
  <c r="C72" i="21"/>
  <c r="B72" i="21"/>
  <c r="C71" i="21"/>
  <c r="B71" i="21"/>
  <c r="C70" i="21"/>
  <c r="B70" i="21"/>
  <c r="C69" i="21"/>
  <c r="B69" i="21"/>
  <c r="C68" i="21"/>
  <c r="B68" i="21"/>
  <c r="C67" i="21"/>
  <c r="B67" i="21"/>
  <c r="C51" i="21"/>
  <c r="C48" i="21"/>
  <c r="D44" i="21"/>
  <c r="C44" i="21"/>
  <c r="K10" i="21"/>
  <c r="M5" i="21"/>
  <c r="K5" i="21"/>
  <c r="I5" i="21"/>
  <c r="H5" i="21"/>
  <c r="G5" i="21"/>
  <c r="F5" i="21"/>
  <c r="E5" i="21"/>
  <c r="W4" i="21"/>
  <c r="W5" i="21" s="1"/>
  <c r="U4" i="21"/>
  <c r="U5" i="21" s="1"/>
  <c r="S4" i="21"/>
  <c r="S5" i="21" s="1"/>
  <c r="R4" i="21"/>
  <c r="R5" i="21" s="1"/>
  <c r="Q4" i="21"/>
  <c r="Q5" i="21" s="1"/>
  <c r="P4" i="21"/>
  <c r="P5" i="21" s="1"/>
  <c r="O4" i="21"/>
  <c r="O5" i="21" s="1"/>
  <c r="J4" i="21"/>
  <c r="T4" i="21" s="1"/>
  <c r="T5" i="21" s="1"/>
  <c r="M105" i="21" l="1"/>
  <c r="M115" i="21"/>
  <c r="S115" i="21"/>
  <c r="Q116" i="21"/>
  <c r="M119" i="21"/>
  <c r="S119" i="21"/>
  <c r="W115" i="21"/>
  <c r="W116" i="21"/>
  <c r="AB116" i="21"/>
  <c r="Z119" i="21"/>
  <c r="L128" i="21"/>
  <c r="O128" i="21"/>
  <c r="S129" i="21"/>
  <c r="AA125" i="21"/>
  <c r="AB128" i="21"/>
  <c r="D24" i="12"/>
  <c r="M24" i="12"/>
  <c r="Y102" i="21"/>
  <c r="W103" i="21"/>
  <c r="N115" i="21"/>
  <c r="M116" i="21"/>
  <c r="R116" i="21"/>
  <c r="S117" i="21"/>
  <c r="N119" i="21"/>
  <c r="U115" i="21"/>
  <c r="Z115" i="21"/>
  <c r="X116" i="21"/>
  <c r="AA118" i="21"/>
  <c r="AA119" i="21"/>
  <c r="L123" i="21"/>
  <c r="O125" i="21"/>
  <c r="P126" i="21"/>
  <c r="P127" i="21"/>
  <c r="Q128" i="21"/>
  <c r="AB123" i="21"/>
  <c r="U127" i="21"/>
  <c r="AA127" i="21"/>
  <c r="U129" i="21"/>
  <c r="H16" i="21"/>
  <c r="F5" i="18" s="1"/>
  <c r="R115" i="21"/>
  <c r="R119" i="21"/>
  <c r="V115" i="21"/>
  <c r="AB115" i="21"/>
  <c r="X119" i="21"/>
  <c r="L24" i="12"/>
  <c r="C24" i="12"/>
  <c r="E9" i="21"/>
  <c r="I9" i="21"/>
  <c r="L9" i="21"/>
  <c r="J9" i="21"/>
  <c r="F9" i="21"/>
  <c r="K9" i="21"/>
  <c r="G9" i="21"/>
  <c r="M9" i="21"/>
  <c r="H9" i="21"/>
  <c r="T9" i="21"/>
  <c r="O103" i="21"/>
  <c r="Y103" i="21"/>
  <c r="O115" i="21"/>
  <c r="N116" i="21"/>
  <c r="S116" i="21"/>
  <c r="O119" i="21"/>
  <c r="U116" i="21"/>
  <c r="Y116" i="21"/>
  <c r="P125" i="21"/>
  <c r="Q127" i="21"/>
  <c r="N129" i="21"/>
  <c r="W127" i="21"/>
  <c r="AB127" i="21"/>
  <c r="X124" i="21"/>
  <c r="AA114" i="21"/>
  <c r="R124" i="21"/>
  <c r="R133" i="21" s="1"/>
  <c r="L21" i="21" s="1"/>
  <c r="R123" i="21"/>
  <c r="U123" i="21"/>
  <c r="AA123" i="21"/>
  <c r="O114" i="21"/>
  <c r="Q114" i="21"/>
  <c r="V114" i="21"/>
  <c r="O123" i="21"/>
  <c r="P123" i="21"/>
  <c r="X123" i="21"/>
  <c r="W123" i="21"/>
  <c r="S113" i="21"/>
  <c r="X113" i="21"/>
  <c r="N123" i="21"/>
  <c r="S123" i="21"/>
  <c r="Y123" i="21"/>
  <c r="R113" i="21"/>
  <c r="R100" i="21"/>
  <c r="AB100" i="21"/>
  <c r="X100" i="21"/>
  <c r="L100" i="21"/>
  <c r="AA100" i="21"/>
  <c r="W100" i="21"/>
  <c r="S100" i="21"/>
  <c r="R104" i="21"/>
  <c r="AB104" i="21"/>
  <c r="X104" i="21"/>
  <c r="L104" i="21"/>
  <c r="AA104" i="21"/>
  <c r="W104" i="21"/>
  <c r="S104" i="21"/>
  <c r="P100" i="21"/>
  <c r="U100" i="21"/>
  <c r="Y104" i="21"/>
  <c r="S9" i="21"/>
  <c r="R101" i="21"/>
  <c r="AB101" i="21"/>
  <c r="X101" i="21"/>
  <c r="Q101" i="21"/>
  <c r="L101" i="21"/>
  <c r="AA101" i="21"/>
  <c r="W101" i="21"/>
  <c r="P101" i="21"/>
  <c r="R105" i="21"/>
  <c r="Y105" i="21"/>
  <c r="X105" i="21"/>
  <c r="Q105" i="21"/>
  <c r="L105" i="21"/>
  <c r="AB105" i="21"/>
  <c r="W105" i="21"/>
  <c r="P105" i="21"/>
  <c r="M101" i="21"/>
  <c r="O105" i="21"/>
  <c r="L7" i="21"/>
  <c r="R9" i="21"/>
  <c r="V100" i="21"/>
  <c r="V101" i="21"/>
  <c r="Z104" i="21"/>
  <c r="AA105" i="21"/>
  <c r="Q9" i="21"/>
  <c r="U9" i="21"/>
  <c r="O101" i="21"/>
  <c r="O104" i="21"/>
  <c r="S105" i="21"/>
  <c r="Y100" i="21"/>
  <c r="Y101" i="21"/>
  <c r="U104" i="21"/>
  <c r="U105" i="21"/>
  <c r="U109" i="21" s="1"/>
  <c r="Z124" i="21"/>
  <c r="V124" i="21"/>
  <c r="P124" i="21"/>
  <c r="AA124" i="21"/>
  <c r="AA133" i="21" s="1"/>
  <c r="V21" i="21" s="1"/>
  <c r="U124" i="21"/>
  <c r="O124" i="21"/>
  <c r="Y124" i="21"/>
  <c r="S124" i="21"/>
  <c r="N124" i="21"/>
  <c r="Z128" i="21"/>
  <c r="V128" i="21"/>
  <c r="P128" i="21"/>
  <c r="AA128" i="21"/>
  <c r="U128" i="21"/>
  <c r="S128" i="21"/>
  <c r="N128" i="21"/>
  <c r="Y128" i="21"/>
  <c r="R128" i="21"/>
  <c r="M128" i="21"/>
  <c r="L124" i="21"/>
  <c r="M124" i="21"/>
  <c r="V9" i="21"/>
  <c r="O100" i="21"/>
  <c r="S101" i="21"/>
  <c r="P104" i="21"/>
  <c r="Z100" i="21"/>
  <c r="Z101" i="21"/>
  <c r="V104" i="21"/>
  <c r="V105" i="21"/>
  <c r="Y113" i="21"/>
  <c r="U113" i="21"/>
  <c r="P113" i="21"/>
  <c r="L113" i="21"/>
  <c r="AB113" i="21"/>
  <c r="W113" i="21"/>
  <c r="Q113" i="21"/>
  <c r="AA113" i="21"/>
  <c r="V113" i="21"/>
  <c r="O113" i="21"/>
  <c r="AA117" i="21"/>
  <c r="W117" i="21"/>
  <c r="P117" i="21"/>
  <c r="L117" i="21"/>
  <c r="Z117" i="21"/>
  <c r="Q117" i="21"/>
  <c r="Y117" i="21"/>
  <c r="U117" i="21"/>
  <c r="O117" i="21"/>
  <c r="N113" i="21"/>
  <c r="M117" i="21"/>
  <c r="Z113" i="21"/>
  <c r="V117" i="21"/>
  <c r="Q124" i="21"/>
  <c r="W124" i="21"/>
  <c r="W128" i="21"/>
  <c r="P6" i="21"/>
  <c r="P7" i="21" s="1"/>
  <c r="R106" i="21"/>
  <c r="Y106" i="21"/>
  <c r="U106" i="21"/>
  <c r="W102" i="21"/>
  <c r="AA102" i="21"/>
  <c r="Z106" i="21"/>
  <c r="AB114" i="21"/>
  <c r="X114" i="21"/>
  <c r="U114" i="21"/>
  <c r="P114" i="21"/>
  <c r="L114" i="21"/>
  <c r="AB118" i="21"/>
  <c r="X118" i="21"/>
  <c r="U118" i="21"/>
  <c r="P118" i="21"/>
  <c r="L118" i="21"/>
  <c r="M114" i="21"/>
  <c r="R114" i="21"/>
  <c r="M118" i="21"/>
  <c r="R118" i="21"/>
  <c r="Y114" i="21"/>
  <c r="W118" i="21"/>
  <c r="Z125" i="21"/>
  <c r="V125" i="21"/>
  <c r="Q125" i="21"/>
  <c r="M125" i="21"/>
  <c r="L125" i="21"/>
  <c r="Z129" i="21"/>
  <c r="V129" i="21"/>
  <c r="Q129" i="21"/>
  <c r="M129" i="21"/>
  <c r="L129" i="21"/>
  <c r="R125" i="21"/>
  <c r="P129" i="21"/>
  <c r="W125" i="21"/>
  <c r="AB125" i="21"/>
  <c r="AB133" i="21" s="1"/>
  <c r="W21" i="21" s="1"/>
  <c r="W129" i="21"/>
  <c r="AB129" i="21"/>
  <c r="Q6" i="21"/>
  <c r="X102" i="21"/>
  <c r="AB102" i="21"/>
  <c r="X103" i="21"/>
  <c r="AB103" i="21"/>
  <c r="V106" i="21"/>
  <c r="AA106" i="21"/>
  <c r="Y115" i="21"/>
  <c r="P115" i="21"/>
  <c r="L115" i="21"/>
  <c r="Y119" i="21"/>
  <c r="P119" i="21"/>
  <c r="L119" i="21"/>
  <c r="N114" i="21"/>
  <c r="S114" i="21"/>
  <c r="Q115" i="21"/>
  <c r="N118" i="21"/>
  <c r="S118" i="21"/>
  <c r="Q119" i="21"/>
  <c r="U119" i="21"/>
  <c r="Z114" i="21"/>
  <c r="X115" i="21"/>
  <c r="Y118" i="21"/>
  <c r="W119" i="21"/>
  <c r="AB119" i="21"/>
  <c r="Z126" i="21"/>
  <c r="V126" i="21"/>
  <c r="R126" i="21"/>
  <c r="N126" i="21"/>
  <c r="N125" i="21"/>
  <c r="S125" i="21"/>
  <c r="Q126" i="21"/>
  <c r="R129" i="21"/>
  <c r="X125" i="21"/>
  <c r="U126" i="21"/>
  <c r="AA126" i="21"/>
  <c r="X129" i="21"/>
  <c r="L116" i="21"/>
  <c r="P116" i="21"/>
  <c r="V116" i="21"/>
  <c r="M123" i="21"/>
  <c r="Q123" i="21"/>
  <c r="O127" i="21"/>
  <c r="S127" i="21"/>
  <c r="V123" i="21"/>
  <c r="V127" i="21"/>
  <c r="O102" i="21"/>
  <c r="S102" i="21"/>
  <c r="O106" i="21"/>
  <c r="S106" i="21"/>
  <c r="L102" i="21"/>
  <c r="P102" i="21"/>
  <c r="L103" i="21"/>
  <c r="P103" i="21"/>
  <c r="L106" i="21"/>
  <c r="P106" i="21"/>
  <c r="F10" i="21"/>
  <c r="M100" i="21"/>
  <c r="Q100" i="21"/>
  <c r="M102" i="21"/>
  <c r="Q102" i="21"/>
  <c r="M103" i="21"/>
  <c r="Q103" i="21"/>
  <c r="M104" i="21"/>
  <c r="Q104" i="21"/>
  <c r="M106" i="21"/>
  <c r="Q106" i="21"/>
  <c r="W6" i="21"/>
  <c r="W7" i="21" s="1"/>
  <c r="N100" i="21"/>
  <c r="N101" i="21"/>
  <c r="N102" i="21"/>
  <c r="N103" i="21"/>
  <c r="N104" i="21"/>
  <c r="N105" i="21"/>
  <c r="N106" i="21"/>
  <c r="J5" i="21"/>
  <c r="J6" i="21" s="1"/>
  <c r="T6" i="21"/>
  <c r="T7" i="21" s="1"/>
  <c r="H6" i="21"/>
  <c r="K6" i="21"/>
  <c r="R6" i="21"/>
  <c r="R7" i="21" s="1"/>
  <c r="U6" i="21"/>
  <c r="U7" i="21" s="1"/>
  <c r="F6" i="21"/>
  <c r="O6" i="21"/>
  <c r="S6" i="21"/>
  <c r="S7" i="21" s="1"/>
  <c r="V6" i="21"/>
  <c r="V7" i="21" s="1"/>
  <c r="E10" i="21"/>
  <c r="M6" i="21"/>
  <c r="M7" i="21" s="1"/>
  <c r="I6" i="21"/>
  <c r="G6" i="21"/>
  <c r="G11" i="21" s="1"/>
  <c r="E6" i="21"/>
  <c r="L133" i="21" l="1"/>
  <c r="S132" i="21"/>
  <c r="M20" i="21" s="1"/>
  <c r="H10" i="21"/>
  <c r="G10" i="21"/>
  <c r="W132" i="21"/>
  <c r="S20" i="21" s="1"/>
  <c r="P109" i="21"/>
  <c r="J12" i="21" s="1"/>
  <c r="H6" i="18" s="1"/>
  <c r="O133" i="21"/>
  <c r="W109" i="21"/>
  <c r="S12" i="21" s="1"/>
  <c r="S14" i="21" s="1"/>
  <c r="X109" i="21"/>
  <c r="X133" i="21"/>
  <c r="AA132" i="21"/>
  <c r="V20" i="21" s="1"/>
  <c r="U133" i="21"/>
  <c r="P21" i="21" s="1"/>
  <c r="Z133" i="21"/>
  <c r="U21" i="21" s="1"/>
  <c r="P10" i="21"/>
  <c r="O10" i="21"/>
  <c r="Y133" i="21"/>
  <c r="T21" i="21" s="1"/>
  <c r="Y109" i="21"/>
  <c r="T12" i="21" s="1"/>
  <c r="R6" i="18" s="1"/>
  <c r="W133" i="21"/>
  <c r="S21" i="21" s="1"/>
  <c r="Q133" i="21"/>
  <c r="K21" i="21" s="1"/>
  <c r="Q132" i="21"/>
  <c r="K20" i="21" s="1"/>
  <c r="P132" i="21"/>
  <c r="J20" i="21" s="1"/>
  <c r="R109" i="21"/>
  <c r="L12" i="21" s="1"/>
  <c r="J6" i="18" s="1"/>
  <c r="V133" i="21"/>
  <c r="R21" i="21" s="1"/>
  <c r="R132" i="21"/>
  <c r="L20" i="21" s="1"/>
  <c r="O21" i="21"/>
  <c r="AB132" i="21"/>
  <c r="W20" i="21" s="1"/>
  <c r="Y132" i="21"/>
  <c r="T20" i="21" s="1"/>
  <c r="Z109" i="21"/>
  <c r="U12" i="21" s="1"/>
  <c r="S133" i="21"/>
  <c r="M21" i="21" s="1"/>
  <c r="P133" i="21"/>
  <c r="J21" i="21" s="1"/>
  <c r="Z132" i="21"/>
  <c r="U20" i="21" s="1"/>
  <c r="Q109" i="21"/>
  <c r="K12" i="21" s="1"/>
  <c r="N132" i="21"/>
  <c r="I20" i="21" s="1"/>
  <c r="V109" i="21"/>
  <c r="R12" i="21" s="1"/>
  <c r="P6" i="18" s="1"/>
  <c r="N133" i="21"/>
  <c r="I21" i="21" s="1"/>
  <c r="X132" i="21"/>
  <c r="O109" i="21"/>
  <c r="M133" i="21"/>
  <c r="J7" i="21"/>
  <c r="O12" i="21"/>
  <c r="M6" i="18" s="1"/>
  <c r="P12" i="21"/>
  <c r="N6" i="18" s="1"/>
  <c r="O7" i="21"/>
  <c r="O11" i="21"/>
  <c r="L109" i="21"/>
  <c r="F12" i="21" s="1"/>
  <c r="D6" i="18" s="1"/>
  <c r="S13" i="21"/>
  <c r="L132" i="21"/>
  <c r="N109" i="21"/>
  <c r="I12" i="21" s="1"/>
  <c r="G6" i="18" s="1"/>
  <c r="O132" i="21"/>
  <c r="U132" i="21"/>
  <c r="K7" i="21"/>
  <c r="G7" i="21"/>
  <c r="H7" i="21"/>
  <c r="Q7" i="21"/>
  <c r="Q11" i="21"/>
  <c r="AB109" i="21"/>
  <c r="W12" i="21" s="1"/>
  <c r="U6" i="18" s="1"/>
  <c r="I7" i="21"/>
  <c r="M109" i="21"/>
  <c r="G12" i="21" s="1"/>
  <c r="E6" i="18" s="1"/>
  <c r="S109" i="21"/>
  <c r="M12" i="21" s="1"/>
  <c r="K6" i="18" s="1"/>
  <c r="AA109" i="21"/>
  <c r="V12" i="21" s="1"/>
  <c r="T6" i="18" s="1"/>
  <c r="F7" i="21"/>
  <c r="E11" i="21"/>
  <c r="E7" i="21"/>
  <c r="Q6" i="18" l="1"/>
  <c r="G21" i="21"/>
  <c r="H21" i="21"/>
  <c r="E21" i="21"/>
  <c r="F21" i="21"/>
  <c r="T14" i="21"/>
  <c r="T13" i="21"/>
  <c r="U13" i="21"/>
  <c r="S6" i="18"/>
  <c r="U14" i="21"/>
  <c r="S15" i="21"/>
  <c r="Q4" i="18" s="1"/>
  <c r="Q21" i="21"/>
  <c r="L14" i="21"/>
  <c r="L13" i="21"/>
  <c r="K13" i="21"/>
  <c r="I6" i="18"/>
  <c r="K14" i="21"/>
  <c r="E12" i="21"/>
  <c r="Q12" i="21"/>
  <c r="H12" i="21"/>
  <c r="O20" i="21"/>
  <c r="P20" i="21"/>
  <c r="E20" i="21"/>
  <c r="F20" i="21"/>
  <c r="F14" i="21"/>
  <c r="F13" i="21"/>
  <c r="M14" i="21"/>
  <c r="M13" i="21"/>
  <c r="W13" i="21"/>
  <c r="W14" i="21"/>
  <c r="R14" i="21"/>
  <c r="R13" i="21"/>
  <c r="P14" i="21"/>
  <c r="P13" i="21"/>
  <c r="J14" i="21"/>
  <c r="J13" i="21"/>
  <c r="G14" i="21"/>
  <c r="G13" i="21"/>
  <c r="V13" i="21"/>
  <c r="V14" i="21"/>
  <c r="I14" i="21"/>
  <c r="I13" i="21"/>
  <c r="O14" i="21"/>
  <c r="O13" i="21"/>
  <c r="V15" i="21" l="1"/>
  <c r="T4" i="18" s="1"/>
  <c r="T15" i="21"/>
  <c r="W15" i="21"/>
  <c r="U4" i="18" s="1"/>
  <c r="K15" i="21"/>
  <c r="I4" i="18" s="1"/>
  <c r="J15" i="21"/>
  <c r="H4" i="18" s="1"/>
  <c r="I15" i="21"/>
  <c r="G4" i="18" s="1"/>
  <c r="P15" i="21"/>
  <c r="N4" i="18" s="1"/>
  <c r="F15" i="21"/>
  <c r="D4" i="18" s="1"/>
  <c r="U15" i="21"/>
  <c r="S4" i="18" s="1"/>
  <c r="S19" i="21"/>
  <c r="S23" i="21" s="1"/>
  <c r="S24" i="21" s="1"/>
  <c r="Q13" i="21"/>
  <c r="O6" i="18"/>
  <c r="R15" i="21"/>
  <c r="P4" i="18" s="1"/>
  <c r="O15" i="21"/>
  <c r="M4" i="18" s="1"/>
  <c r="L15" i="21"/>
  <c r="J4" i="18" s="1"/>
  <c r="M15" i="21"/>
  <c r="K4" i="18" s="1"/>
  <c r="E13" i="21"/>
  <c r="C6" i="18"/>
  <c r="H13" i="21"/>
  <c r="F6" i="18"/>
  <c r="E14" i="21"/>
  <c r="Q14" i="21"/>
  <c r="H14" i="21"/>
  <c r="G15" i="21"/>
  <c r="E4" i="18" s="1"/>
  <c r="H16" i="20"/>
  <c r="W19" i="21" l="1"/>
  <c r="W23" i="21" s="1"/>
  <c r="W24" i="21" s="1"/>
  <c r="V19" i="21"/>
  <c r="V23" i="21" s="1"/>
  <c r="V24" i="21" s="1"/>
  <c r="U19" i="21"/>
  <c r="U23" i="21" s="1"/>
  <c r="U24" i="21" s="1"/>
  <c r="K19" i="21"/>
  <c r="K23" i="21" s="1"/>
  <c r="K24" i="21" s="1"/>
  <c r="R4" i="18"/>
  <c r="T19" i="21"/>
  <c r="T23" i="21" s="1"/>
  <c r="T24" i="21" s="1"/>
  <c r="P19" i="21"/>
  <c r="P23" i="21" s="1"/>
  <c r="P24" i="21" s="1"/>
  <c r="F19" i="21"/>
  <c r="F23" i="21" s="1"/>
  <c r="F24" i="21" s="1"/>
  <c r="I19" i="21"/>
  <c r="I23" i="21" s="1"/>
  <c r="I24" i="21" s="1"/>
  <c r="J19" i="21"/>
  <c r="J23" i="21" s="1"/>
  <c r="J24" i="21" s="1"/>
  <c r="O19" i="21"/>
  <c r="O23" i="21" s="1"/>
  <c r="O24" i="21" s="1"/>
  <c r="E15" i="21"/>
  <c r="C4" i="18" s="1"/>
  <c r="L19" i="21"/>
  <c r="L23" i="21" s="1"/>
  <c r="L24" i="21" s="1"/>
  <c r="M19" i="21"/>
  <c r="M23" i="21" s="1"/>
  <c r="M24" i="21" s="1"/>
  <c r="H15" i="21"/>
  <c r="F4" i="18" s="1"/>
  <c r="G19" i="21"/>
  <c r="G23" i="21" s="1"/>
  <c r="G24" i="21" s="1"/>
  <c r="D25" i="10"/>
  <c r="C28" i="11"/>
  <c r="C29" i="11" s="1"/>
  <c r="C30" i="11" s="1"/>
  <c r="AI58" i="11"/>
  <c r="J33" i="11"/>
  <c r="AI29" i="11"/>
  <c r="AI28" i="11"/>
  <c r="AI89" i="11"/>
  <c r="AI88" i="11"/>
  <c r="AI78" i="11"/>
  <c r="AI69" i="11"/>
  <c r="AI68" i="11"/>
  <c r="AI48" i="11"/>
  <c r="AI16" i="11"/>
  <c r="AI17" i="11"/>
  <c r="AI19" i="11"/>
  <c r="AI8" i="11"/>
  <c r="E19" i="21" l="1"/>
  <c r="E23" i="21" s="1"/>
  <c r="E24" i="21" s="1"/>
  <c r="H19" i="21"/>
  <c r="H23" i="21" s="1"/>
  <c r="H24" i="21" s="1"/>
  <c r="A25" i="10"/>
  <c r="E25" i="21" l="1"/>
  <c r="M9" i="19"/>
  <c r="M8" i="19"/>
  <c r="M7" i="19"/>
  <c r="M6" i="19"/>
  <c r="M5" i="19"/>
  <c r="M4" i="19"/>
  <c r="R10" i="21" l="1"/>
  <c r="R19" i="21" s="1"/>
  <c r="R23" i="21" s="1"/>
  <c r="R24" i="21" s="1"/>
  <c r="Q10" i="21"/>
  <c r="Q15" i="21" s="1"/>
  <c r="K4" i="10"/>
  <c r="K5" i="15"/>
  <c r="K4" i="15"/>
  <c r="Q19" i="21" l="1"/>
  <c r="Q23" i="21" s="1"/>
  <c r="Q24" i="21" s="1"/>
  <c r="O25" i="21" s="1"/>
  <c r="C7" i="12" s="1"/>
  <c r="O4" i="18"/>
  <c r="G9" i="19"/>
  <c r="F9" i="19"/>
  <c r="C9" i="19"/>
  <c r="B9" i="19"/>
  <c r="G8" i="19"/>
  <c r="H8" i="19" s="1"/>
  <c r="G7" i="19"/>
  <c r="G6" i="19"/>
  <c r="G5" i="19"/>
  <c r="G4" i="19"/>
  <c r="H4" i="19" s="1"/>
  <c r="G3" i="19"/>
  <c r="F8" i="19"/>
  <c r="F7" i="19"/>
  <c r="F6" i="19"/>
  <c r="F5" i="19"/>
  <c r="F4" i="19"/>
  <c r="F3" i="19"/>
  <c r="C8" i="19"/>
  <c r="C7" i="19"/>
  <c r="C6" i="19"/>
  <c r="C5" i="19"/>
  <c r="D5" i="19" s="1"/>
  <c r="C4" i="19"/>
  <c r="D4" i="19" s="1"/>
  <c r="C3" i="19"/>
  <c r="B8" i="19"/>
  <c r="B7" i="19"/>
  <c r="B6" i="19"/>
  <c r="B5" i="19"/>
  <c r="B4" i="19"/>
  <c r="B3" i="19"/>
  <c r="F16" i="19"/>
  <c r="B16" i="19"/>
  <c r="E27" i="21" l="1"/>
  <c r="E9" i="19"/>
  <c r="I7" i="19"/>
  <c r="I3" i="19"/>
  <c r="E7" i="19"/>
  <c r="E3" i="19"/>
  <c r="I9" i="19"/>
  <c r="I6" i="19"/>
  <c r="I5" i="19"/>
  <c r="H5" i="19"/>
  <c r="H6" i="19"/>
  <c r="I4" i="19"/>
  <c r="I8" i="19"/>
  <c r="H3" i="19"/>
  <c r="H7" i="19"/>
  <c r="E6" i="19"/>
  <c r="D7" i="19"/>
  <c r="E8" i="19"/>
  <c r="D3" i="19"/>
  <c r="D6" i="19"/>
  <c r="E4" i="19"/>
  <c r="D8" i="19"/>
  <c r="E5" i="19"/>
  <c r="I42" i="18"/>
  <c r="I40" i="18"/>
  <c r="B54" i="18"/>
  <c r="H54" i="18" s="1"/>
  <c r="B53" i="18"/>
  <c r="H53" i="18" s="1"/>
  <c r="B52" i="18"/>
  <c r="C52" i="18" s="1"/>
  <c r="B51" i="18"/>
  <c r="C51" i="18" s="1"/>
  <c r="B50" i="18"/>
  <c r="H50" i="18" s="1"/>
  <c r="B49" i="18"/>
  <c r="H49" i="18" s="1"/>
  <c r="B48" i="18"/>
  <c r="C48" i="18" s="1"/>
  <c r="B47" i="18"/>
  <c r="C47" i="18" s="1"/>
  <c r="B46" i="18"/>
  <c r="H46" i="18" s="1"/>
  <c r="B45" i="18"/>
  <c r="H45" i="18" s="1"/>
  <c r="B44" i="18"/>
  <c r="C44" i="18" s="1"/>
  <c r="B43" i="18"/>
  <c r="C43" i="18" s="1"/>
  <c r="G43" i="18" s="1"/>
  <c r="B42" i="18"/>
  <c r="H42" i="18" s="1"/>
  <c r="B41" i="18"/>
  <c r="H41" i="18" s="1"/>
  <c r="B40" i="18"/>
  <c r="C40" i="18" s="1"/>
  <c r="B39" i="18"/>
  <c r="C39" i="18" s="1"/>
  <c r="B38" i="18"/>
  <c r="H38" i="18" s="1"/>
  <c r="B37" i="18"/>
  <c r="H37" i="18" s="1"/>
  <c r="B36" i="18"/>
  <c r="C36" i="18" s="1"/>
  <c r="P15" i="18"/>
  <c r="O15" i="18"/>
  <c r="N15" i="18"/>
  <c r="M15" i="18"/>
  <c r="U15" i="18"/>
  <c r="T15" i="18"/>
  <c r="S15" i="18"/>
  <c r="R15" i="18"/>
  <c r="Q15" i="18"/>
  <c r="K15" i="18"/>
  <c r="J15" i="18"/>
  <c r="I15" i="18"/>
  <c r="H15" i="18"/>
  <c r="G15" i="18"/>
  <c r="F15" i="18"/>
  <c r="E15" i="18"/>
  <c r="D15" i="18"/>
  <c r="U14" i="18"/>
  <c r="T14" i="18"/>
  <c r="S14" i="18"/>
  <c r="R14" i="18"/>
  <c r="Q14" i="18"/>
  <c r="P14" i="18"/>
  <c r="O14" i="18"/>
  <c r="N14" i="18"/>
  <c r="M14" i="18"/>
  <c r="K14" i="18"/>
  <c r="J14" i="18"/>
  <c r="I14" i="18"/>
  <c r="H14" i="18"/>
  <c r="G14" i="18"/>
  <c r="F14" i="18"/>
  <c r="E14" i="18"/>
  <c r="D14" i="18"/>
  <c r="B17" i="19" l="1"/>
  <c r="E39" i="18"/>
  <c r="G39" i="18"/>
  <c r="E47" i="18"/>
  <c r="G47" i="18"/>
  <c r="E51" i="18"/>
  <c r="G51" i="18"/>
  <c r="G36" i="18"/>
  <c r="E36" i="18"/>
  <c r="G40" i="18"/>
  <c r="E40" i="18"/>
  <c r="G44" i="18"/>
  <c r="E44" i="18"/>
  <c r="G48" i="18"/>
  <c r="E48" i="18"/>
  <c r="G52" i="18"/>
  <c r="E52" i="18"/>
  <c r="F17" i="19"/>
  <c r="E27" i="18"/>
  <c r="C22" i="18"/>
  <c r="C23" i="18" s="1"/>
  <c r="C27" i="18"/>
  <c r="C37" i="18"/>
  <c r="C38" i="18"/>
  <c r="C53" i="18"/>
  <c r="C54" i="18"/>
  <c r="C45" i="18"/>
  <c r="C46" i="18"/>
  <c r="H43" i="18"/>
  <c r="C41" i="18"/>
  <c r="C49" i="18"/>
  <c r="H47" i="18"/>
  <c r="H39" i="18"/>
  <c r="C42" i="18"/>
  <c r="C50" i="18"/>
  <c r="H51" i="18"/>
  <c r="E43" i="18"/>
  <c r="H36" i="18"/>
  <c r="H40" i="18"/>
  <c r="C17" i="18" s="1"/>
  <c r="C18" i="18" s="1"/>
  <c r="H44" i="18"/>
  <c r="H48" i="18"/>
  <c r="H52" i="18"/>
  <c r="M16" i="18"/>
  <c r="P16" i="18"/>
  <c r="E16" i="18"/>
  <c r="I16" i="18"/>
  <c r="R16" i="18"/>
  <c r="R27" i="18" s="1"/>
  <c r="N16" i="18"/>
  <c r="F16" i="18"/>
  <c r="F27" i="18" s="1"/>
  <c r="J16" i="18"/>
  <c r="S16" i="18"/>
  <c r="G16" i="18"/>
  <c r="K16" i="18"/>
  <c r="T16" i="18"/>
  <c r="O16" i="18"/>
  <c r="D16" i="18"/>
  <c r="D27" i="18" s="1"/>
  <c r="H16" i="18"/>
  <c r="Q16" i="18"/>
  <c r="U16" i="18"/>
  <c r="U22" i="18" s="1"/>
  <c r="U23" i="18" s="1"/>
  <c r="U24" i="18" s="1"/>
  <c r="U9" i="18"/>
  <c r="T9" i="18"/>
  <c r="S9" i="18"/>
  <c r="R9" i="18"/>
  <c r="Q9" i="18"/>
  <c r="P9" i="18"/>
  <c r="O9" i="18"/>
  <c r="N9" i="18"/>
  <c r="M9" i="18"/>
  <c r="K9" i="18"/>
  <c r="J9" i="18"/>
  <c r="I9" i="18"/>
  <c r="H9" i="18"/>
  <c r="G9" i="18"/>
  <c r="F9" i="18"/>
  <c r="E9" i="18"/>
  <c r="D9" i="18"/>
  <c r="C9" i="18"/>
  <c r="B35" i="18"/>
  <c r="H35" i="18" s="1"/>
  <c r="U7" i="18"/>
  <c r="U8" i="18" s="1"/>
  <c r="T7" i="18"/>
  <c r="T8" i="18" s="1"/>
  <c r="S7" i="18"/>
  <c r="S8" i="18" s="1"/>
  <c r="R7" i="18"/>
  <c r="R8" i="18" s="1"/>
  <c r="Q7" i="18"/>
  <c r="Q8" i="18" s="1"/>
  <c r="P7" i="18"/>
  <c r="P8" i="18" s="1"/>
  <c r="O7" i="18"/>
  <c r="O8" i="18" s="1"/>
  <c r="N7" i="18"/>
  <c r="N8" i="18" s="1"/>
  <c r="M7" i="18"/>
  <c r="M8" i="18" s="1"/>
  <c r="K7" i="18"/>
  <c r="K8" i="18" s="1"/>
  <c r="J7" i="18"/>
  <c r="J8" i="18" s="1"/>
  <c r="I7" i="18"/>
  <c r="I8" i="18" s="1"/>
  <c r="H7" i="18"/>
  <c r="H8" i="18" s="1"/>
  <c r="G7" i="18"/>
  <c r="G8" i="18" s="1"/>
  <c r="F7" i="18"/>
  <c r="F8" i="18" s="1"/>
  <c r="E7" i="18"/>
  <c r="E8" i="18" s="1"/>
  <c r="D7" i="18"/>
  <c r="D8" i="18" s="1"/>
  <c r="C7" i="18"/>
  <c r="C8" i="18" s="1"/>
  <c r="J27" i="18"/>
  <c r="G27" i="18"/>
  <c r="E50" i="18" l="1"/>
  <c r="G50" i="18"/>
  <c r="E49" i="18"/>
  <c r="G49" i="18"/>
  <c r="E45" i="18"/>
  <c r="G45" i="18"/>
  <c r="G37" i="18"/>
  <c r="E37" i="18"/>
  <c r="E42" i="18"/>
  <c r="G42" i="18"/>
  <c r="E41" i="18"/>
  <c r="G41" i="18"/>
  <c r="E54" i="18"/>
  <c r="G54" i="18"/>
  <c r="E53" i="18"/>
  <c r="G53" i="18"/>
  <c r="E46" i="18"/>
  <c r="G46" i="18"/>
  <c r="G38" i="18"/>
  <c r="E38" i="18"/>
  <c r="C24" i="18"/>
  <c r="P27" i="18"/>
  <c r="I27" i="18"/>
  <c r="K27" i="18"/>
  <c r="T27" i="18"/>
  <c r="S27" i="18"/>
  <c r="H27" i="18"/>
  <c r="M27" i="18"/>
  <c r="Q27" i="18"/>
  <c r="O27" i="18"/>
  <c r="U27" i="18"/>
  <c r="N22" i="18"/>
  <c r="N23" i="18" s="1"/>
  <c r="N24" i="18" s="1"/>
  <c r="S22" i="18"/>
  <c r="S23" i="18" s="1"/>
  <c r="S24" i="18" s="1"/>
  <c r="P22" i="18"/>
  <c r="P23" i="18" s="1"/>
  <c r="P24" i="18" s="1"/>
  <c r="N27" i="18"/>
  <c r="K22" i="18"/>
  <c r="K23" i="18" s="1"/>
  <c r="K24" i="18" s="1"/>
  <c r="D22" i="18"/>
  <c r="D23" i="18" s="1"/>
  <c r="D24" i="18" s="1"/>
  <c r="M22" i="18"/>
  <c r="M23" i="18" s="1"/>
  <c r="M24" i="18" s="1"/>
  <c r="Q22" i="18"/>
  <c r="Q23" i="18" s="1"/>
  <c r="Q24" i="18" s="1"/>
  <c r="O22" i="18"/>
  <c r="O23" i="18" s="1"/>
  <c r="O24" i="18" s="1"/>
  <c r="I22" i="18"/>
  <c r="I23" i="18" s="1"/>
  <c r="I24" i="18" s="1"/>
  <c r="H22" i="18"/>
  <c r="H23" i="18" s="1"/>
  <c r="H24" i="18" s="1"/>
  <c r="F22" i="18"/>
  <c r="F23" i="18" s="1"/>
  <c r="F24" i="18" s="1"/>
  <c r="J22" i="18"/>
  <c r="J23" i="18" s="1"/>
  <c r="J24" i="18" s="1"/>
  <c r="E22" i="18"/>
  <c r="E23" i="18" s="1"/>
  <c r="E24" i="18" s="1"/>
  <c r="R22" i="18"/>
  <c r="R23" i="18" s="1"/>
  <c r="R24" i="18" s="1"/>
  <c r="G22" i="18"/>
  <c r="G23" i="18" s="1"/>
  <c r="G24" i="18" s="1"/>
  <c r="T22" i="18"/>
  <c r="T23" i="18" s="1"/>
  <c r="T24" i="18" s="1"/>
  <c r="C35" i="18"/>
  <c r="G17" i="18"/>
  <c r="G18" i="18" s="1"/>
  <c r="G19" i="18" s="1"/>
  <c r="G35" i="18" l="1"/>
  <c r="E35" i="18"/>
  <c r="E55" i="18" s="1"/>
  <c r="I10" i="18" s="1"/>
  <c r="I11" i="18" s="1"/>
  <c r="G10" i="18"/>
  <c r="G11" i="18" s="1"/>
  <c r="F10" i="18"/>
  <c r="F11" i="18" s="1"/>
  <c r="K10" i="18"/>
  <c r="K11" i="18" s="1"/>
  <c r="D10" i="18"/>
  <c r="D11" i="18" s="1"/>
  <c r="C10" i="18"/>
  <c r="C11" i="18" s="1"/>
  <c r="J10" i="18"/>
  <c r="J11" i="18" s="1"/>
  <c r="E10" i="18"/>
  <c r="E11" i="18" s="1"/>
  <c r="M28" i="18"/>
  <c r="H10" i="19" s="1"/>
  <c r="C28" i="18"/>
  <c r="D10" i="19" s="1"/>
  <c r="B13" i="19" s="1"/>
  <c r="M25" i="18"/>
  <c r="C25" i="18"/>
  <c r="C19" i="18"/>
  <c r="P17" i="18"/>
  <c r="P18" i="18" s="1"/>
  <c r="P19" i="18" s="1"/>
  <c r="R17" i="18"/>
  <c r="R18" i="18" s="1"/>
  <c r="R19" i="18" s="1"/>
  <c r="K17" i="18"/>
  <c r="K18" i="18" s="1"/>
  <c r="K19" i="18" s="1"/>
  <c r="G55" i="18"/>
  <c r="N17" i="18"/>
  <c r="N18" i="18" s="1"/>
  <c r="N19" i="18" s="1"/>
  <c r="S17" i="18"/>
  <c r="S18" i="18" s="1"/>
  <c r="S19" i="18" s="1"/>
  <c r="O17" i="18"/>
  <c r="O18" i="18" s="1"/>
  <c r="O19" i="18" s="1"/>
  <c r="I17" i="18"/>
  <c r="I18" i="18" s="1"/>
  <c r="I19" i="18" s="1"/>
  <c r="U17" i="18"/>
  <c r="U18" i="18" s="1"/>
  <c r="U19" i="18" s="1"/>
  <c r="T17" i="18"/>
  <c r="T18" i="18" s="1"/>
  <c r="T19" i="18" s="1"/>
  <c r="F17" i="18"/>
  <c r="F18" i="18" s="1"/>
  <c r="F19" i="18" s="1"/>
  <c r="E17" i="18"/>
  <c r="E18" i="18" s="1"/>
  <c r="E19" i="18" s="1"/>
  <c r="Q17" i="18"/>
  <c r="Q18" i="18" s="1"/>
  <c r="Q19" i="18" s="1"/>
  <c r="D17" i="18"/>
  <c r="D18" i="18" s="1"/>
  <c r="D19" i="18" s="1"/>
  <c r="H17" i="18"/>
  <c r="H18" i="18" s="1"/>
  <c r="H19" i="18" s="1"/>
  <c r="J17" i="18"/>
  <c r="J18" i="18" s="1"/>
  <c r="J19" i="18" s="1"/>
  <c r="M17" i="18"/>
  <c r="M18" i="18" s="1"/>
  <c r="M19" i="18" s="1"/>
  <c r="H10" i="18" l="1"/>
  <c r="H11" i="18" s="1"/>
  <c r="M21" i="18"/>
  <c r="N10" i="18"/>
  <c r="N11" i="18" s="1"/>
  <c r="S10" i="18"/>
  <c r="S11" i="18" s="1"/>
  <c r="T10" i="18"/>
  <c r="T11" i="18" s="1"/>
  <c r="R10" i="18"/>
  <c r="R11" i="18" s="1"/>
  <c r="Q10" i="18"/>
  <c r="Q11" i="18" s="1"/>
  <c r="M10" i="18"/>
  <c r="M11" i="18" s="1"/>
  <c r="P10" i="18"/>
  <c r="P11" i="18" s="1"/>
  <c r="U10" i="18"/>
  <c r="U11" i="18" s="1"/>
  <c r="O10" i="18"/>
  <c r="O11" i="18" s="1"/>
  <c r="C21" i="18"/>
  <c r="C12" i="18"/>
  <c r="F14" i="19"/>
  <c r="F13" i="19"/>
  <c r="F15" i="19"/>
  <c r="B15" i="19"/>
  <c r="B14" i="19"/>
  <c r="I17" i="14"/>
  <c r="H17" i="14"/>
  <c r="M12" i="18" l="1"/>
  <c r="B7" i="17" s="1"/>
  <c r="B18" i="19"/>
  <c r="F18" i="19"/>
  <c r="B8" i="13"/>
  <c r="J16" i="20" s="1"/>
  <c r="K16" i="20" s="1"/>
  <c r="O16" i="20" l="1"/>
  <c r="N16" i="20"/>
  <c r="P16" i="20"/>
  <c r="B7" i="15"/>
  <c r="J15" i="20" s="1"/>
  <c r="K15" i="20" s="1"/>
  <c r="H13" i="20" l="1"/>
  <c r="J13" i="20"/>
  <c r="K13" i="20" s="1"/>
  <c r="B17" i="11"/>
  <c r="C21" i="11"/>
  <c r="C27" i="11" s="1"/>
  <c r="B21" i="11"/>
  <c r="C20" i="11"/>
  <c r="C26" i="11" s="1"/>
  <c r="B20" i="11"/>
  <c r="C19" i="11"/>
  <c r="B19" i="11"/>
  <c r="C18" i="11"/>
  <c r="B18" i="11"/>
  <c r="C17" i="11"/>
  <c r="K2" i="11"/>
  <c r="K7" i="11" s="1"/>
  <c r="H14" i="20" l="1"/>
  <c r="J14" i="20"/>
  <c r="K14" i="20" s="1"/>
  <c r="K15" i="11"/>
  <c r="C24" i="11" s="1"/>
  <c r="K20" i="11"/>
  <c r="K25" i="11"/>
  <c r="K9" i="11"/>
  <c r="C23" i="11" s="1"/>
  <c r="K11" i="11"/>
  <c r="B26" i="11" s="1"/>
  <c r="K16" i="11"/>
  <c r="K21" i="11"/>
  <c r="K26" i="11"/>
  <c r="B25" i="11" s="1"/>
  <c r="K12" i="11"/>
  <c r="K17" i="11"/>
  <c r="B24" i="11" s="1"/>
  <c r="K22" i="11"/>
  <c r="B27" i="11" s="1"/>
  <c r="K27" i="11"/>
  <c r="C25" i="11" s="1"/>
  <c r="K13" i="11"/>
  <c r="K18" i="11"/>
  <c r="K23" i="11"/>
  <c r="K29" i="11"/>
  <c r="K8" i="11"/>
  <c r="K4" i="11"/>
  <c r="C33" i="11" l="1"/>
  <c r="O14" i="20"/>
  <c r="N14" i="20"/>
  <c r="P14" i="20"/>
  <c r="B23" i="11"/>
  <c r="B33" i="11" s="1"/>
  <c r="C34" i="11" l="1"/>
  <c r="C35" i="11" s="1"/>
  <c r="B38" i="11" s="1"/>
  <c r="B7" i="10" s="1"/>
  <c r="J12" i="20" s="1"/>
  <c r="K12" i="20" s="1"/>
  <c r="O12" i="20" s="1"/>
  <c r="P12" i="20" l="1"/>
  <c r="N12" i="20"/>
  <c r="H12" i="20" s="1"/>
  <c r="P13" i="20"/>
  <c r="O13" i="20"/>
  <c r="N13" i="20"/>
  <c r="K17" i="20" l="1"/>
  <c r="N15" i="20"/>
  <c r="H15" i="20" s="1"/>
  <c r="O15" i="20"/>
  <c r="P15" i="20"/>
  <c r="J17" i="20"/>
</calcChain>
</file>

<file path=xl/comments1.xml><?xml version="1.0" encoding="utf-8"?>
<comments xmlns="http://schemas.openxmlformats.org/spreadsheetml/2006/main">
  <authors>
    <author>nharris</author>
  </authors>
  <commentList>
    <comment ref="C42" authorId="0">
      <text>
        <r>
          <rPr>
            <b/>
            <sz val="9"/>
            <color indexed="81"/>
            <rFont val="Tahoma"/>
            <family val="2"/>
          </rPr>
          <t>nharris:</t>
        </r>
        <r>
          <rPr>
            <sz val="9"/>
            <color indexed="81"/>
            <rFont val="Tahoma"/>
            <family val="2"/>
          </rPr>
          <t xml:space="preserve">
where no default value is given, used the avg ratio of mature female:dairy cow (0.8)</t>
        </r>
      </text>
    </comment>
  </commentList>
</comments>
</file>

<file path=xl/sharedStrings.xml><?xml version="1.0" encoding="utf-8"?>
<sst xmlns="http://schemas.openxmlformats.org/spreadsheetml/2006/main" count="1637" uniqueCount="1156">
  <si>
    <t>MODULE NAME:</t>
  </si>
  <si>
    <t xml:space="preserve">MODULE CODE: </t>
  </si>
  <si>
    <t>Output Parameter(s)</t>
  </si>
  <si>
    <t>Key Input Data:</t>
  </si>
  <si>
    <t>A-MICROSCALE</t>
  </si>
  <si>
    <t>ACCOUNTING MODULE FOR MICROSCALE EMISSIONS</t>
  </si>
  <si>
    <r>
      <t xml:space="preserve">Parameter Description: </t>
    </r>
    <r>
      <rPr>
        <sz val="12"/>
        <color theme="1"/>
        <rFont val="Times New Roman"/>
        <family val="1"/>
      </rPr>
      <t>Net microscale biotic sequestration/emissions (t CO</t>
    </r>
    <r>
      <rPr>
        <vertAlign val="subscript"/>
        <sz val="12"/>
        <color theme="1"/>
        <rFont val="Times New Roman"/>
        <family val="1"/>
      </rPr>
      <t>2</t>
    </r>
    <r>
      <rPr>
        <sz val="12"/>
        <color theme="1"/>
        <rFont val="Times New Roman"/>
        <family val="1"/>
      </rPr>
      <t>e)</t>
    </r>
  </si>
  <si>
    <r>
      <t xml:space="preserve">Parameter Description: </t>
    </r>
    <r>
      <rPr>
        <sz val="12"/>
        <color theme="1"/>
        <rFont val="Times New Roman"/>
        <family val="1"/>
      </rPr>
      <t>Net microscale fertilizer emissions (t CO</t>
    </r>
    <r>
      <rPr>
        <vertAlign val="subscript"/>
        <sz val="12"/>
        <color theme="1"/>
        <rFont val="Times New Roman"/>
        <family val="1"/>
      </rPr>
      <t>2</t>
    </r>
    <r>
      <rPr>
        <sz val="12"/>
        <color theme="1"/>
        <rFont val="Times New Roman"/>
        <family val="1"/>
      </rPr>
      <t>e)</t>
    </r>
  </si>
  <si>
    <r>
      <t xml:space="preserve">Parameter Description: </t>
    </r>
    <r>
      <rPr>
        <sz val="12"/>
        <color theme="1"/>
        <rFont val="Times New Roman"/>
        <family val="1"/>
      </rPr>
      <t>Net microscale enteric emissions (t CO</t>
    </r>
    <r>
      <rPr>
        <vertAlign val="subscript"/>
        <sz val="12"/>
        <color theme="1"/>
        <rFont val="Times New Roman"/>
        <family val="1"/>
      </rPr>
      <t>2</t>
    </r>
    <r>
      <rPr>
        <sz val="12"/>
        <color theme="1"/>
        <rFont val="Times New Roman"/>
        <family val="1"/>
      </rPr>
      <t>e)</t>
    </r>
  </si>
  <si>
    <r>
      <t xml:space="preserve">Parameter Description: </t>
    </r>
    <r>
      <rPr>
        <sz val="12"/>
        <color theme="1"/>
        <rFont val="Times New Roman"/>
        <family val="1"/>
      </rPr>
      <t>Net microscale manure emissions (t CO</t>
    </r>
    <r>
      <rPr>
        <vertAlign val="subscript"/>
        <sz val="12"/>
        <color theme="1"/>
        <rFont val="Times New Roman"/>
        <family val="1"/>
      </rPr>
      <t>2</t>
    </r>
    <r>
      <rPr>
        <sz val="12"/>
        <color theme="1"/>
        <rFont val="Times New Roman"/>
        <family val="1"/>
      </rPr>
      <t>e)</t>
    </r>
  </si>
  <si>
    <r>
      <t xml:space="preserve">Parameter Description: </t>
    </r>
    <r>
      <rPr>
        <sz val="12"/>
        <color theme="1"/>
        <rFont val="Times New Roman"/>
        <family val="1"/>
      </rPr>
      <t>Net microscale fossil fuel emissions (t CO</t>
    </r>
    <r>
      <rPr>
        <vertAlign val="subscript"/>
        <sz val="12"/>
        <color theme="1"/>
        <rFont val="Times New Roman"/>
        <family val="1"/>
      </rPr>
      <t>2</t>
    </r>
    <r>
      <rPr>
        <sz val="12"/>
        <color theme="1"/>
        <rFont val="Times New Roman"/>
        <family val="1"/>
      </rPr>
      <t>e)</t>
    </r>
  </si>
  <si>
    <t>Purpose</t>
  </si>
  <si>
    <t>Applicability Conditions</t>
  </si>
  <si>
    <t xml:space="preserve">The module is applicable to all grazing land and livestock management greenhouse gas emissions under this methodology. </t>
  </si>
  <si>
    <t>GRAZING LAND AND LIVESTOCK MANAGEMENT GREENHOUSE GAS MITIGATION METHODOLOGY</t>
  </si>
  <si>
    <t>SOCRef</t>
  </si>
  <si>
    <t>FLU</t>
  </si>
  <si>
    <t>Temperature</t>
  </si>
  <si>
    <t>North America</t>
  </si>
  <si>
    <t>Western Europe</t>
  </si>
  <si>
    <t>Eastern Europe</t>
  </si>
  <si>
    <t>Oceania</t>
  </si>
  <si>
    <t>Latin America</t>
  </si>
  <si>
    <t>Africa</t>
  </si>
  <si>
    <t>Middle East</t>
  </si>
  <si>
    <t>Asia</t>
  </si>
  <si>
    <t>Indian Subcontinent</t>
  </si>
  <si>
    <t>Select from drop-down menus.</t>
  </si>
  <si>
    <t>Region</t>
  </si>
  <si>
    <t>Number of Animals Produced Per Year</t>
  </si>
  <si>
    <t>Baseline</t>
  </si>
  <si>
    <t>Climate Region:</t>
  </si>
  <si>
    <t>Soil Type:</t>
  </si>
  <si>
    <t>Project</t>
  </si>
  <si>
    <t>Land Cover Type</t>
  </si>
  <si>
    <t>ha</t>
  </si>
  <si>
    <t>Climate Regions</t>
  </si>
  <si>
    <t>Tropical Montane</t>
  </si>
  <si>
    <t>Tropical Wet</t>
  </si>
  <si>
    <t>Tropical Moist</t>
  </si>
  <si>
    <t>Tropical Dry</t>
  </si>
  <si>
    <t>Warm Temperate Moist</t>
  </si>
  <si>
    <t>Warm Temperate Dry</t>
  </si>
  <si>
    <t>Cool Temperate Moist</t>
  </si>
  <si>
    <t>Cool Temperate Dry</t>
  </si>
  <si>
    <t>Boreal Moist</t>
  </si>
  <si>
    <t>Boreal Dry</t>
  </si>
  <si>
    <t>Soil Types</t>
  </si>
  <si>
    <t>Sandy</t>
  </si>
  <si>
    <t>Spodic</t>
  </si>
  <si>
    <t xml:space="preserve">Volcanic </t>
  </si>
  <si>
    <t>Wetlands</t>
  </si>
  <si>
    <t>Size of Project Area:</t>
  </si>
  <si>
    <t>Climate Region</t>
  </si>
  <si>
    <t>Full Tillage</t>
  </si>
  <si>
    <t>N/A</t>
  </si>
  <si>
    <t>FLU grassland</t>
  </si>
  <si>
    <t>FLU long term cultivated crop</t>
  </si>
  <si>
    <t>FLU short term set aside crop</t>
  </si>
  <si>
    <t>FMG full till crop</t>
  </si>
  <si>
    <t>FMG reduced till crop</t>
  </si>
  <si>
    <t>FMG no till crop</t>
  </si>
  <si>
    <t>FMG improved grass</t>
  </si>
  <si>
    <t>FMG severely degraded grass</t>
  </si>
  <si>
    <t>FMG mod degraded grass</t>
  </si>
  <si>
    <t>FMG nominally managed grass</t>
  </si>
  <si>
    <t>FI grass low</t>
  </si>
  <si>
    <t>FI grass medium</t>
  </si>
  <si>
    <t>FI grass high</t>
  </si>
  <si>
    <t>FI crop low</t>
  </si>
  <si>
    <t>FI crop medium</t>
  </si>
  <si>
    <t>FI crop high w/ manure</t>
  </si>
  <si>
    <t>FI crop high w/o manure</t>
  </si>
  <si>
    <t>FLU LTC crop</t>
  </si>
  <si>
    <t>FLU ST crop</t>
  </si>
  <si>
    <t>FLU grass</t>
  </si>
  <si>
    <t>FMG mod deg grass</t>
  </si>
  <si>
    <t>FI crop med</t>
  </si>
  <si>
    <t>FI crop high w/man</t>
  </si>
  <si>
    <t>FI crop high w/o man</t>
  </si>
  <si>
    <t>FI grass med</t>
  </si>
  <si>
    <t>Climate Region/Soil Type</t>
  </si>
  <si>
    <t>SOC</t>
  </si>
  <si>
    <t>Tropical Montane/HAC</t>
  </si>
  <si>
    <t>Tropical Montane/LAC</t>
  </si>
  <si>
    <t>Tropical Montane/Sandy</t>
  </si>
  <si>
    <t>Tropical Montane/Spodic</t>
  </si>
  <si>
    <t>Tropical Montane/Volcanic</t>
  </si>
  <si>
    <t>Tropical Montane/Wetlands</t>
  </si>
  <si>
    <t>Tropical Wet/HAC</t>
  </si>
  <si>
    <t>Tropical Wet/LAC</t>
  </si>
  <si>
    <t>Tropical Wet/Sandy</t>
  </si>
  <si>
    <t>Tropical Wet/Spodic</t>
  </si>
  <si>
    <t>Tropical Wet/Volcanic</t>
  </si>
  <si>
    <t>Tropical Wet/Wetlands</t>
  </si>
  <si>
    <t>Tropical Moist/HAC</t>
  </si>
  <si>
    <t>Tropical Moist/LAC</t>
  </si>
  <si>
    <t>Tropical Moist/Sandy</t>
  </si>
  <si>
    <t>Tropical Moist/Spodic</t>
  </si>
  <si>
    <t>Tropical Moist/Volcanic</t>
  </si>
  <si>
    <t>Tropical Moist/Wetlands</t>
  </si>
  <si>
    <t>Tropical Dry/HAC</t>
  </si>
  <si>
    <t>Tropical Dry/LAC</t>
  </si>
  <si>
    <t>Tropical Dry/Sandy</t>
  </si>
  <si>
    <t>Tropical Dry/Spodic</t>
  </si>
  <si>
    <t>Tropical Dry/Volcanic</t>
  </si>
  <si>
    <t>Tropical Dry/Wetlands</t>
  </si>
  <si>
    <t>Warm Temperate Moist/HAC</t>
  </si>
  <si>
    <t>Warm Temperate Moist/LAC</t>
  </si>
  <si>
    <t>Warm Temperate Moist/Sandy</t>
  </si>
  <si>
    <t>Warm Temperate Moist/Spodic</t>
  </si>
  <si>
    <t>Warm Temperate Moist/Volcanic</t>
  </si>
  <si>
    <t>Warm Temperate Moist/Wetlands</t>
  </si>
  <si>
    <t>Warm Temperate Dry/HAC</t>
  </si>
  <si>
    <t>Warm Temperate Dry/LAC</t>
  </si>
  <si>
    <t>Warm Temperate Dry/Sandy</t>
  </si>
  <si>
    <t>Warm Temperate Dry/Spodic</t>
  </si>
  <si>
    <t>Warm Temperate Dry/Volcanic</t>
  </si>
  <si>
    <t>Warm Temperate Dry/Wetlands</t>
  </si>
  <si>
    <t>Cool Temperate Moist/HAC</t>
  </si>
  <si>
    <t>Cool Temperate Moist/LAC</t>
  </si>
  <si>
    <t>Cool Temperate Moist/Sandy</t>
  </si>
  <si>
    <t>Cool Temperate Moist/Spodic</t>
  </si>
  <si>
    <t>Cool Temperate Moist/Volcanic</t>
  </si>
  <si>
    <t>Cool Temperate Moist/Wetlands</t>
  </si>
  <si>
    <t>Cool Temperate Dry/HAC</t>
  </si>
  <si>
    <t>Cool Temperate Dry/LAC</t>
  </si>
  <si>
    <t>Cool Temperate Dry/Sandy</t>
  </si>
  <si>
    <t>Cool Temperate Dry/Spodic</t>
  </si>
  <si>
    <t>Cool Temperate Dry/Volcanic</t>
  </si>
  <si>
    <t>Cool Temperate Dry/Wetlands</t>
  </si>
  <si>
    <t>Boreal Moist/HAC</t>
  </si>
  <si>
    <t>Boreal Moist/LAC</t>
  </si>
  <si>
    <t>Boreal Moist/Sandy</t>
  </si>
  <si>
    <t>Boreal Moist/Spodic</t>
  </si>
  <si>
    <t>Boreal Moist/Volcanic</t>
  </si>
  <si>
    <t>Boreal Moist/Wetlands</t>
  </si>
  <si>
    <t>Boreal Dry/HAC</t>
  </si>
  <si>
    <t>Boreal Dry/LAC</t>
  </si>
  <si>
    <t>Boreal Dry/Sandy</t>
  </si>
  <si>
    <t>Boreal Dry/Spodic</t>
  </si>
  <si>
    <t>Boreal Dry/Volcanic</t>
  </si>
  <si>
    <t>Boreal Dry/Wetlands</t>
  </si>
  <si>
    <t>Biomass grass</t>
  </si>
  <si>
    <t>Grassland</t>
  </si>
  <si>
    <t>Moderately Degraded</t>
  </si>
  <si>
    <t>Severely Degraded</t>
  </si>
  <si>
    <t>Improved</t>
  </si>
  <si>
    <t>Cropland Inputs</t>
  </si>
  <si>
    <t>Low</t>
  </si>
  <si>
    <t>Cropland Management</t>
  </si>
  <si>
    <t>Reduced Till</t>
  </si>
  <si>
    <t>No Till</t>
  </si>
  <si>
    <t>Nominally Managed</t>
  </si>
  <si>
    <t>Grassland Management</t>
  </si>
  <si>
    <t>Grassland Inputs</t>
  </si>
  <si>
    <t>Medium</t>
  </si>
  <si>
    <t>High</t>
  </si>
  <si>
    <t>High W/ Manure</t>
  </si>
  <si>
    <t>High W/O Manure</t>
  </si>
  <si>
    <t>Grass Biomass</t>
  </si>
  <si>
    <t>LC Type</t>
  </si>
  <si>
    <t>Grass Mgmt</t>
  </si>
  <si>
    <t>Grass Inputs</t>
  </si>
  <si>
    <t>Crop Mgmt</t>
  </si>
  <si>
    <t>Crop Inputs</t>
  </si>
  <si>
    <t>Long Term Cultivated Crop</t>
  </si>
  <si>
    <t>Short term set aside Crop</t>
  </si>
  <si>
    <t>FMG grass</t>
  </si>
  <si>
    <t>FI crop</t>
  </si>
  <si>
    <t>FI grass</t>
  </si>
  <si>
    <t>FMG crop</t>
  </si>
  <si>
    <t>Biomass</t>
  </si>
  <si>
    <t>Calculated value:</t>
  </si>
  <si>
    <t>Gas/Diesel Oil</t>
  </si>
  <si>
    <t>Motor Gasoline</t>
  </si>
  <si>
    <t>Other Kerosene</t>
  </si>
  <si>
    <r>
      <t>Anhydrous Ammonia (NH</t>
    </r>
    <r>
      <rPr>
        <vertAlign val="subscript"/>
        <sz val="10"/>
        <color theme="1"/>
        <rFont val="Arial"/>
        <family val="2"/>
      </rPr>
      <t>3</t>
    </r>
    <r>
      <rPr>
        <sz val="10"/>
        <color theme="1"/>
        <rFont val="Arial"/>
        <family val="2"/>
      </rPr>
      <t>) "Ammonia"</t>
    </r>
  </si>
  <si>
    <r>
      <t>Ammonium Sulfate [(NH</t>
    </r>
    <r>
      <rPr>
        <vertAlign val="subscript"/>
        <sz val="10"/>
        <color theme="1"/>
        <rFont val="Arial"/>
        <family val="2"/>
      </rPr>
      <t>4</t>
    </r>
    <r>
      <rPr>
        <sz val="10"/>
        <color theme="1"/>
        <rFont val="Arial"/>
        <family val="2"/>
      </rPr>
      <t>)2SO</t>
    </r>
    <r>
      <rPr>
        <vertAlign val="subscript"/>
        <sz val="10"/>
        <color theme="1"/>
        <rFont val="Arial"/>
        <family val="2"/>
      </rPr>
      <t>4</t>
    </r>
    <r>
      <rPr>
        <sz val="10"/>
        <color theme="1"/>
        <rFont val="Arial"/>
        <family val="2"/>
      </rPr>
      <t>]</t>
    </r>
  </si>
  <si>
    <t>Monoammonium Phosphate (MAP)</t>
  </si>
  <si>
    <t>Diammonium Phosphate (DAP)</t>
  </si>
  <si>
    <r>
      <t>Ammonium Nitrate (NH</t>
    </r>
    <r>
      <rPr>
        <vertAlign val="subscript"/>
        <sz val="10"/>
        <color theme="1"/>
        <rFont val="Arial"/>
        <family val="2"/>
      </rPr>
      <t>4</t>
    </r>
    <r>
      <rPr>
        <sz val="10"/>
        <color theme="1"/>
        <rFont val="Arial"/>
        <family val="2"/>
      </rPr>
      <t>NO</t>
    </r>
    <r>
      <rPr>
        <vertAlign val="subscript"/>
        <sz val="10"/>
        <color theme="1"/>
        <rFont val="Arial"/>
        <family val="2"/>
      </rPr>
      <t>3</t>
    </r>
    <r>
      <rPr>
        <sz val="10"/>
        <color theme="1"/>
        <rFont val="Arial"/>
        <family val="2"/>
      </rPr>
      <t>)</t>
    </r>
  </si>
  <si>
    <t>Calcium Ammonium Nitrate (CAN)</t>
  </si>
  <si>
    <t>Urea</t>
  </si>
  <si>
    <t xml:space="preserve">Parameter Name: </t>
  </si>
  <si>
    <t xml:space="preserve">Parameter Description: </t>
  </si>
  <si>
    <t>Manure Management System</t>
  </si>
  <si>
    <t>Solid Storage</t>
  </si>
  <si>
    <t>Pasture/Range/Paddock</t>
  </si>
  <si>
    <t>Daily Spread</t>
  </si>
  <si>
    <t>Uncovered anaerobic lagoon</t>
  </si>
  <si>
    <t>Anaerobic digester</t>
  </si>
  <si>
    <t>Composting - static pile</t>
  </si>
  <si>
    <t>Composting - intensive windrow</t>
  </si>
  <si>
    <t>Composting - passive windrow</t>
  </si>
  <si>
    <r>
      <t>t CO</t>
    </r>
    <r>
      <rPr>
        <vertAlign val="subscript"/>
        <sz val="11"/>
        <color theme="1"/>
        <rFont val="Calibri"/>
        <family val="2"/>
        <scheme val="minor"/>
      </rPr>
      <t>2</t>
    </r>
    <r>
      <rPr>
        <sz val="11"/>
        <color theme="1"/>
        <rFont val="Calibri"/>
        <family val="2"/>
        <scheme val="minor"/>
      </rPr>
      <t>e yr</t>
    </r>
    <r>
      <rPr>
        <vertAlign val="superscript"/>
        <sz val="11"/>
        <color theme="1"/>
        <rFont val="Calibri"/>
        <family val="2"/>
        <scheme val="minor"/>
      </rPr>
      <t>-1</t>
    </r>
  </si>
  <si>
    <t>Instructions: Enter data on annual fuel quantities into the light blue cells.</t>
  </si>
  <si>
    <t>Fuel Units</t>
  </si>
  <si>
    <t>Ethane</t>
  </si>
  <si>
    <t>Liters</t>
  </si>
  <si>
    <t>Propane</t>
  </si>
  <si>
    <t>Gallons</t>
  </si>
  <si>
    <t>Butane</t>
  </si>
  <si>
    <t>LPG</t>
  </si>
  <si>
    <t>Aviation Gasoline (avgas)</t>
  </si>
  <si>
    <t>Biodiesel</t>
  </si>
  <si>
    <t>Biogas</t>
  </si>
  <si>
    <t>Other Liquid Biofuels</t>
  </si>
  <si>
    <t>State</t>
  </si>
  <si>
    <t>Fuel Types</t>
  </si>
  <si>
    <t>NCV (TJ/Gg)</t>
  </si>
  <si>
    <t>EF (kg CO2/TJ)</t>
  </si>
  <si>
    <t>Density (kg/m3)</t>
  </si>
  <si>
    <t>Units</t>
  </si>
  <si>
    <t>Liquid</t>
  </si>
  <si>
    <t>Charcoal</t>
  </si>
  <si>
    <t>Sludge Gas</t>
  </si>
  <si>
    <t>Lubricants (incl. motor oil)</t>
  </si>
  <si>
    <t>Baseline (kg CO2)</t>
  </si>
  <si>
    <t>Project (kg CO2)</t>
  </si>
  <si>
    <t>A - MICROSCALE</t>
  </si>
  <si>
    <t>Dairy Cows</t>
  </si>
  <si>
    <t>Synthetic Fertilizer:</t>
  </si>
  <si>
    <t>Mature Dairy Cows</t>
  </si>
  <si>
    <t>Fat content of milk: (%)</t>
  </si>
  <si>
    <t>DE%</t>
  </si>
  <si>
    <t>Cfi</t>
  </si>
  <si>
    <t>ESTIMATION OF GROSS ENERGY INTAKE (MJ/day):</t>
  </si>
  <si>
    <t>IPCC Eq. #</t>
  </si>
  <si>
    <t>IPCC Parameter Name</t>
  </si>
  <si>
    <t>Parameter Description</t>
  </si>
  <si>
    <t>Cfi x (weight)^0.75</t>
  </si>
  <si>
    <t>NEm</t>
  </si>
  <si>
    <t>NEa</t>
  </si>
  <si>
    <t>Net energy for activity</t>
  </si>
  <si>
    <t>NEg</t>
  </si>
  <si>
    <t>Net energy for growth</t>
  </si>
  <si>
    <t>22.02 x ((average live body weight/(coeff (M/F) * mature weight of adult female))^0.75 * average daily weight gain^1.097</t>
  </si>
  <si>
    <t>Nel</t>
  </si>
  <si>
    <t>Milk produced x (1.47 + 0.40*Fat%)</t>
  </si>
  <si>
    <t>Nep</t>
  </si>
  <si>
    <t>BASELINE</t>
  </si>
  <si>
    <t>0.10 * Nem</t>
  </si>
  <si>
    <t>Ratio of net energy available in a diet for maintenance to digestible energy consumed</t>
  </si>
  <si>
    <t>REM</t>
  </si>
  <si>
    <t>[1.123-(4.092*10^-3*DE%)+[1.126*10^-5*(DE%)^2]-(25.4/DE%)]</t>
  </si>
  <si>
    <t>REG</t>
  </si>
  <si>
    <t>[1.164-(5.160*10^-3*DE%)+[1.308*10^-5*(DE%)^2]-(37.4/DE%)]</t>
  </si>
  <si>
    <t>GE</t>
  </si>
  <si>
    <t>{[(Nem+Nea+Nel+Nep)/REM]+(Neg/REG)}/(DE%/100)</t>
  </si>
  <si>
    <t>coeff (confinement situation) x Nem</t>
  </si>
  <si>
    <t>Ratio of net energy available for growth in a diet to digestible energy consumed</t>
  </si>
  <si>
    <t>Gross energy, MJ head-1 day-1</t>
  </si>
  <si>
    <t>Mature females</t>
  </si>
  <si>
    <t>Mature Males</t>
  </si>
  <si>
    <t>Calves on milk</t>
  </si>
  <si>
    <t>Calves on forage</t>
  </si>
  <si>
    <t>Growing heifers/steers</t>
  </si>
  <si>
    <t>Replacement/growing</t>
  </si>
  <si>
    <t>Feedlot cattle</t>
  </si>
  <si>
    <t>Not pregnant</t>
  </si>
  <si>
    <t>Pregnant</t>
  </si>
  <si>
    <t>Average Live-Weight of Animal (kg)</t>
  </si>
  <si>
    <t>kg</t>
  </si>
  <si>
    <t>Average Mature Weight of an Adult Female:</t>
  </si>
  <si>
    <t>Table 10.4</t>
  </si>
  <si>
    <t>Coefficient for calculating net energy for maintenance (MJ day-1 kg-1)</t>
  </si>
  <si>
    <t>Cfi_cold</t>
  </si>
  <si>
    <t>Coefficient for calculating Nem in colder climates</t>
  </si>
  <si>
    <t>Net energy for maintenance (MJ day-1)</t>
  </si>
  <si>
    <t>C</t>
  </si>
  <si>
    <t>Coefficient by sex</t>
  </si>
  <si>
    <t>% of Females that give birth in a year:</t>
  </si>
  <si>
    <t>Table 10.2</t>
  </si>
  <si>
    <t>BASELINE DATA</t>
  </si>
  <si>
    <t>PROJECT DATA</t>
  </si>
  <si>
    <t>PROJECT</t>
  </si>
  <si>
    <t>Equation</t>
  </si>
  <si>
    <t># animals</t>
  </si>
  <si>
    <t>UE</t>
  </si>
  <si>
    <t>Gross Energy (MJ head-1 day-1)</t>
  </si>
  <si>
    <t>B0</t>
  </si>
  <si>
    <t>B0 dairy</t>
  </si>
  <si>
    <t>B0 other</t>
  </si>
  <si>
    <t>VS (kg VS head-1 day-1)</t>
  </si>
  <si>
    <t>TABLES:</t>
  </si>
  <si>
    <t>MCF</t>
  </si>
  <si>
    <r>
      <t>Pasture/Range/Paddock/</t>
    </r>
    <r>
      <rPr>
        <sz val="11"/>
        <color theme="1"/>
        <rFont val="Calibri"/>
        <family val="2"/>
      </rPr>
      <t>≤10</t>
    </r>
  </si>
  <si>
    <t>Pasture/Range/Paddock/11</t>
  </si>
  <si>
    <t>Pasture/Range/Paddock/12</t>
  </si>
  <si>
    <t>Pasture/Range/Paddock/13</t>
  </si>
  <si>
    <t>Pasture/Range/Paddock/14</t>
  </si>
  <si>
    <t>Pasture/Range/Paddock/15</t>
  </si>
  <si>
    <t>Pasture/Range/Paddock/16</t>
  </si>
  <si>
    <t>Pasture/Range/Paddock/17</t>
  </si>
  <si>
    <t>Pasture/Range/Paddock/18</t>
  </si>
  <si>
    <t>Pasture/Range/Paddock/19</t>
  </si>
  <si>
    <t>Pasture/Range/Paddock/20</t>
  </si>
  <si>
    <t>Pasture/Range/Paddock/21</t>
  </si>
  <si>
    <t>Pasture/Range/Paddock/22</t>
  </si>
  <si>
    <t>Pasture/Range/Paddock/23</t>
  </si>
  <si>
    <t>Pasture/Range/Paddock/24</t>
  </si>
  <si>
    <t>Pasture/Range/Paddock/25</t>
  </si>
  <si>
    <t>Pasture/Range/Paddock/26</t>
  </si>
  <si>
    <t>Pasture/Range/Paddock/27</t>
  </si>
  <si>
    <r>
      <t>Pasture/Range/Paddock/</t>
    </r>
    <r>
      <rPr>
        <sz val="11"/>
        <color theme="1"/>
        <rFont val="Calibri"/>
        <family val="2"/>
      </rPr>
      <t>≥28</t>
    </r>
  </si>
  <si>
    <r>
      <t>Daily Spread/</t>
    </r>
    <r>
      <rPr>
        <sz val="11"/>
        <color theme="1"/>
        <rFont val="Calibri"/>
        <family val="2"/>
      </rPr>
      <t>≤10</t>
    </r>
  </si>
  <si>
    <t>Daily Spread/11</t>
  </si>
  <si>
    <t>Daily Spread/12</t>
  </si>
  <si>
    <t>Daily Spread/13</t>
  </si>
  <si>
    <t>Daily Spread/14</t>
  </si>
  <si>
    <t>Daily Spread/15</t>
  </si>
  <si>
    <t>Daily Spread/16</t>
  </si>
  <si>
    <t>Daily Spread/17</t>
  </si>
  <si>
    <t>Daily Spread/18</t>
  </si>
  <si>
    <t>Daily Spread/19</t>
  </si>
  <si>
    <t>Daily Spread/20</t>
  </si>
  <si>
    <t>Daily Spread/21</t>
  </si>
  <si>
    <t>Daily Spread/22</t>
  </si>
  <si>
    <t>Daily Spread/23</t>
  </si>
  <si>
    <t>Daily Spread/24</t>
  </si>
  <si>
    <t>Daily Spread/25</t>
  </si>
  <si>
    <t>Daily Spread/26</t>
  </si>
  <si>
    <t>Daily Spread/27</t>
  </si>
  <si>
    <r>
      <t>Daily Spread/</t>
    </r>
    <r>
      <rPr>
        <sz val="11"/>
        <color theme="1"/>
        <rFont val="Calibri"/>
        <family val="2"/>
      </rPr>
      <t>≥28</t>
    </r>
  </si>
  <si>
    <r>
      <t>Solid Storage/</t>
    </r>
    <r>
      <rPr>
        <sz val="11"/>
        <color theme="1"/>
        <rFont val="Calibri"/>
        <family val="2"/>
      </rPr>
      <t>≤10</t>
    </r>
  </si>
  <si>
    <t>Solid Storage/11</t>
  </si>
  <si>
    <t>Solid Storage/12</t>
  </si>
  <si>
    <t>Solid Storage/13</t>
  </si>
  <si>
    <t>Solid Storage/14</t>
  </si>
  <si>
    <t>Solid Storage/15</t>
  </si>
  <si>
    <t>Solid Storage/16</t>
  </si>
  <si>
    <t>Solid Storage/17</t>
  </si>
  <si>
    <t>Solid Storage/18</t>
  </si>
  <si>
    <t>Solid Storage/19</t>
  </si>
  <si>
    <t>Solid Storage/20</t>
  </si>
  <si>
    <t>Solid Storage/21</t>
  </si>
  <si>
    <t>Solid Storage/22</t>
  </si>
  <si>
    <t>Solid Storage/23</t>
  </si>
  <si>
    <t>Solid Storage/24</t>
  </si>
  <si>
    <t>Solid Storage/25</t>
  </si>
  <si>
    <t>Solid Storage/26</t>
  </si>
  <si>
    <t>Solid Storage/27</t>
  </si>
  <si>
    <r>
      <t>Solid Storage/</t>
    </r>
    <r>
      <rPr>
        <sz val="11"/>
        <color theme="1"/>
        <rFont val="Calibri"/>
        <family val="2"/>
      </rPr>
      <t>≥28</t>
    </r>
  </si>
  <si>
    <t>Dry Lot/12</t>
  </si>
  <si>
    <r>
      <t>Dry Lot/</t>
    </r>
    <r>
      <rPr>
        <sz val="11"/>
        <color theme="1"/>
        <rFont val="Calibri"/>
        <family val="2"/>
      </rPr>
      <t>≤10</t>
    </r>
  </si>
  <si>
    <t>Dry Lot/11</t>
  </si>
  <si>
    <t>Dry Lot/13</t>
  </si>
  <si>
    <t>Dry Lot/14</t>
  </si>
  <si>
    <t>Dry Lot/15</t>
  </si>
  <si>
    <t>Dry Lot/16</t>
  </si>
  <si>
    <t>Dry Lot/17</t>
  </si>
  <si>
    <t>Dry Lot/18</t>
  </si>
  <si>
    <t>Dry Lot/19</t>
  </si>
  <si>
    <t>Dry Lot/20</t>
  </si>
  <si>
    <t>Dry Lot/21</t>
  </si>
  <si>
    <t>Dry Lot/22</t>
  </si>
  <si>
    <t>Dry Lot/23</t>
  </si>
  <si>
    <t>Dry Lot/24</t>
  </si>
  <si>
    <t>Dry Lot/25</t>
  </si>
  <si>
    <t>Dry Lot/26</t>
  </si>
  <si>
    <t>Dry Lot/27</t>
  </si>
  <si>
    <r>
      <t>Dry Lot/</t>
    </r>
    <r>
      <rPr>
        <sz val="11"/>
        <color theme="1"/>
        <rFont val="Calibri"/>
        <family val="2"/>
      </rPr>
      <t>≥28</t>
    </r>
  </si>
  <si>
    <r>
      <t>Liquid/Slurry with Crust/</t>
    </r>
    <r>
      <rPr>
        <sz val="11"/>
        <color theme="1"/>
        <rFont val="Calibri"/>
        <family val="2"/>
      </rPr>
      <t>≤10</t>
    </r>
  </si>
  <si>
    <t>Liquid/Slurry with Crust/11</t>
  </si>
  <si>
    <t>Liquid/Slurry with Crust/12</t>
  </si>
  <si>
    <t>Liquid/Slurry with Crust/13</t>
  </si>
  <si>
    <t>Liquid/Slurry with Crust/14</t>
  </si>
  <si>
    <t>Liquid/Slurry with Crust/15</t>
  </si>
  <si>
    <t>Liquid/Slurry with Crust/16</t>
  </si>
  <si>
    <t>Liquid/Slurry with Crust/17</t>
  </si>
  <si>
    <t>Liquid/Slurry with Crust/18</t>
  </si>
  <si>
    <t>Liquid/Slurry with Crust/19</t>
  </si>
  <si>
    <t>Liquid/Slurry with Crust/20</t>
  </si>
  <si>
    <t>Liquid/Slurry with Crust/21</t>
  </si>
  <si>
    <t>Liquid/Slurry with Crust/22</t>
  </si>
  <si>
    <t>Liquid/Slurry with Crust/23</t>
  </si>
  <si>
    <t>Liquid/Slurry with Crust/24</t>
  </si>
  <si>
    <t>Liquid/Slurry with Crust/25</t>
  </si>
  <si>
    <t>Liquid/Slurry with Crust/26</t>
  </si>
  <si>
    <t>Liquid/Slurry with Crust/27</t>
  </si>
  <si>
    <r>
      <t>Liquid/Slurry with Crust/</t>
    </r>
    <r>
      <rPr>
        <sz val="11"/>
        <color theme="1"/>
        <rFont val="Calibri"/>
        <family val="2"/>
      </rPr>
      <t>≥28</t>
    </r>
  </si>
  <si>
    <r>
      <t>Liquid/Slurry without Crust/</t>
    </r>
    <r>
      <rPr>
        <sz val="11"/>
        <color theme="1"/>
        <rFont val="Calibri"/>
        <family val="2"/>
      </rPr>
      <t>≤10</t>
    </r>
  </si>
  <si>
    <t>Liquid/Slurry without Crust/11</t>
  </si>
  <si>
    <t>Liquid/Slurry without Crust/12</t>
  </si>
  <si>
    <t>Liquid/Slurry without Crust/13</t>
  </si>
  <si>
    <t>Liquid/Slurry without Crust/14</t>
  </si>
  <si>
    <t>Liquid/Slurry without Crust/15</t>
  </si>
  <si>
    <t>Liquid/Slurry without Crust/16</t>
  </si>
  <si>
    <t>Liquid/Slurry without Crust/17</t>
  </si>
  <si>
    <t>Liquid/Slurry without Crust/18</t>
  </si>
  <si>
    <t>Liquid/Slurry without Crust/19</t>
  </si>
  <si>
    <t>Liquid/Slurry without Crust/20</t>
  </si>
  <si>
    <t>Liquid/Slurry without Crust/21</t>
  </si>
  <si>
    <t>Liquid/Slurry without Crust/22</t>
  </si>
  <si>
    <t>Liquid/Slurry without Crust/23</t>
  </si>
  <si>
    <t>Liquid/Slurry without Crust/24</t>
  </si>
  <si>
    <t>Liquid/Slurry without Crust/25</t>
  </si>
  <si>
    <t>Liquid/Slurry without Crust/26</t>
  </si>
  <si>
    <t>Liquid/Slurry without Crust/27</t>
  </si>
  <si>
    <r>
      <t>Liquid/Slurry without Crust/</t>
    </r>
    <r>
      <rPr>
        <sz val="11"/>
        <color theme="1"/>
        <rFont val="Calibri"/>
        <family val="2"/>
      </rPr>
      <t>≥28</t>
    </r>
  </si>
  <si>
    <r>
      <t>Uncovered anaerobic lagoon/</t>
    </r>
    <r>
      <rPr>
        <sz val="11"/>
        <color theme="1"/>
        <rFont val="Calibri"/>
        <family val="2"/>
      </rPr>
      <t>≤10</t>
    </r>
  </si>
  <si>
    <t>Uncovered anaerobic lagoon/11</t>
  </si>
  <si>
    <t>Uncovered anaerobic lagoon/12</t>
  </si>
  <si>
    <t>Uncovered anaerobic lagoon/13</t>
  </si>
  <si>
    <t>Uncovered anaerobic lagoon/14</t>
  </si>
  <si>
    <t>Uncovered anaerobic lagoon/15</t>
  </si>
  <si>
    <t>Uncovered anaerobic lagoon/16</t>
  </si>
  <si>
    <t>Uncovered anaerobic lagoon/17</t>
  </si>
  <si>
    <t>Uncovered anaerobic lagoon/18</t>
  </si>
  <si>
    <t>Uncovered anaerobic lagoon/19</t>
  </si>
  <si>
    <t>Uncovered anaerobic lagoon/20</t>
  </si>
  <si>
    <t>Uncovered anaerobic lagoon/21</t>
  </si>
  <si>
    <t>Uncovered anaerobic lagoon/22</t>
  </si>
  <si>
    <t>Uncovered anaerobic lagoon/23</t>
  </si>
  <si>
    <t>Uncovered anaerobic lagoon/24</t>
  </si>
  <si>
    <t>Uncovered anaerobic lagoon/25</t>
  </si>
  <si>
    <t>Uncovered anaerobic lagoon/26</t>
  </si>
  <si>
    <t>Uncovered anaerobic lagoon/27</t>
  </si>
  <si>
    <r>
      <t>Uncovered anaerobic lagoon/</t>
    </r>
    <r>
      <rPr>
        <sz val="11"/>
        <color theme="1"/>
        <rFont val="Calibri"/>
        <family val="2"/>
      </rPr>
      <t>≥28</t>
    </r>
  </si>
  <si>
    <r>
      <t>Pit storage &lt;1 month/</t>
    </r>
    <r>
      <rPr>
        <sz val="11"/>
        <color theme="1"/>
        <rFont val="Calibri"/>
        <family val="2"/>
      </rPr>
      <t>≤10</t>
    </r>
  </si>
  <si>
    <t>Pit storage &lt;1 month/11</t>
  </si>
  <si>
    <t>Pit storage &lt;1 month/12</t>
  </si>
  <si>
    <t>Pit storage &lt;1 month/13</t>
  </si>
  <si>
    <t>Pit storage &lt;1 month/14</t>
  </si>
  <si>
    <t>Pit storage &lt;1 month/15</t>
  </si>
  <si>
    <t>Pit storage &lt;1 month/16</t>
  </si>
  <si>
    <t>Pit storage &lt;1 month/17</t>
  </si>
  <si>
    <t>Pit storage &lt;1 month/18</t>
  </si>
  <si>
    <t>Pit storage &lt;1 month/19</t>
  </si>
  <si>
    <t>Pit storage &lt;1 month/20</t>
  </si>
  <si>
    <t>Pit storage &lt;1 month/21</t>
  </si>
  <si>
    <t>Pit storage &lt;1 month/22</t>
  </si>
  <si>
    <t>Pit storage &lt;1 month/23</t>
  </si>
  <si>
    <t>Pit storage &lt;1 month/24</t>
  </si>
  <si>
    <t>Pit storage &lt;1 month/25</t>
  </si>
  <si>
    <t>Pit storage &lt;1 month/26</t>
  </si>
  <si>
    <t>Pit storage &lt;1 month/27</t>
  </si>
  <si>
    <r>
      <t>Pit storage &lt;1 month/</t>
    </r>
    <r>
      <rPr>
        <sz val="11"/>
        <color theme="1"/>
        <rFont val="Calibri"/>
        <family val="2"/>
      </rPr>
      <t>≥28</t>
    </r>
  </si>
  <si>
    <r>
      <t>Pit storage &gt;1 month/</t>
    </r>
    <r>
      <rPr>
        <sz val="11"/>
        <color theme="1"/>
        <rFont val="Calibri"/>
        <family val="2"/>
      </rPr>
      <t>≤10</t>
    </r>
  </si>
  <si>
    <t>Pit storage &gt;1 month/11</t>
  </si>
  <si>
    <t>Pit storage &gt;1 month/12</t>
  </si>
  <si>
    <t>Pit storage &gt;1 month/13</t>
  </si>
  <si>
    <t>Pit storage &gt;1 month/14</t>
  </si>
  <si>
    <t>Pit storage &gt;1 month/15</t>
  </si>
  <si>
    <t>Pit storage &gt;1 month/16</t>
  </si>
  <si>
    <t>Pit storage &gt;1 month/17</t>
  </si>
  <si>
    <t>Pit storage &gt;1 month/18</t>
  </si>
  <si>
    <t>Pit storage &gt;1 month/19</t>
  </si>
  <si>
    <t>Pit storage &gt;1 month/20</t>
  </si>
  <si>
    <t>Pit storage &gt;1 month/21</t>
  </si>
  <si>
    <t>Pit storage &gt;1 month/22</t>
  </si>
  <si>
    <t>Pit storage &gt;1 month/23</t>
  </si>
  <si>
    <t>Pit storage &gt;1 month/24</t>
  </si>
  <si>
    <t>Pit storage &gt;1 month/25</t>
  </si>
  <si>
    <t>Pit storage &gt;1 month/26</t>
  </si>
  <si>
    <t>Pit storage &gt;1 month/27</t>
  </si>
  <si>
    <r>
      <t>Pit storage &gt;1 month/</t>
    </r>
    <r>
      <rPr>
        <sz val="11"/>
        <color theme="1"/>
        <rFont val="Calibri"/>
        <family val="2"/>
      </rPr>
      <t>≥28</t>
    </r>
  </si>
  <si>
    <t>Burned for fuel</t>
  </si>
  <si>
    <r>
      <t>Burned for fuel/</t>
    </r>
    <r>
      <rPr>
        <sz val="11"/>
        <color theme="1"/>
        <rFont val="Calibri"/>
        <family val="2"/>
      </rPr>
      <t>≤10</t>
    </r>
  </si>
  <si>
    <t>Burned for fuel/11</t>
  </si>
  <si>
    <t>Burned for fuel/12</t>
  </si>
  <si>
    <t>Burned for fuel/13</t>
  </si>
  <si>
    <t>Burned for fuel/14</t>
  </si>
  <si>
    <t>Burned for fuel/15</t>
  </si>
  <si>
    <t>Burned for fuel/16</t>
  </si>
  <si>
    <t>Burned for fuel/17</t>
  </si>
  <si>
    <t>Burned for fuel/18</t>
  </si>
  <si>
    <t>Burned for fuel/19</t>
  </si>
  <si>
    <t>Burned for fuel/20</t>
  </si>
  <si>
    <t>Burned for fuel/21</t>
  </si>
  <si>
    <t>Burned for fuel/22</t>
  </si>
  <si>
    <t>Burned for fuel/23</t>
  </si>
  <si>
    <t>Burned for fuel/24</t>
  </si>
  <si>
    <t>Burned for fuel/25</t>
  </si>
  <si>
    <t>Burned for fuel/26</t>
  </si>
  <si>
    <t>Burned for fuel/27</t>
  </si>
  <si>
    <r>
      <t>Burned for fuel/</t>
    </r>
    <r>
      <rPr>
        <sz val="11"/>
        <color theme="1"/>
        <rFont val="Calibri"/>
        <family val="2"/>
      </rPr>
      <t>≥28</t>
    </r>
  </si>
  <si>
    <t>Composting - In-Vessel/11</t>
  </si>
  <si>
    <t>Composting - In-Vessel/14</t>
  </si>
  <si>
    <t>Composting - In-Vessel/15</t>
  </si>
  <si>
    <t>Composting - In-Vessel/16</t>
  </si>
  <si>
    <t>Composting - In-Vessel/17</t>
  </si>
  <si>
    <t>Composting - In-Vessel/18</t>
  </si>
  <si>
    <t>Composting - In-Vessel/19</t>
  </si>
  <si>
    <t>Composting - In-Vessel/20</t>
  </si>
  <si>
    <t>Composting - In-Vessel/21</t>
  </si>
  <si>
    <t>Composting - In-Vessel/22</t>
  </si>
  <si>
    <t>Composting - In-Vessel/23</t>
  </si>
  <si>
    <t>Composting - In-Vessel/24</t>
  </si>
  <si>
    <t>Composting - In-Vessel/25</t>
  </si>
  <si>
    <t>Composting - In-Vessel/26</t>
  </si>
  <si>
    <t>Composting - In-Vessel/27</t>
  </si>
  <si>
    <r>
      <t>Composting - In-Vessel/</t>
    </r>
    <r>
      <rPr>
        <sz val="11"/>
        <color theme="1"/>
        <rFont val="Calibri"/>
        <family val="2"/>
      </rPr>
      <t>≥28</t>
    </r>
  </si>
  <si>
    <t>Composting - In-Vessel/12</t>
  </si>
  <si>
    <t>Composting - In-Vessel/13</t>
  </si>
  <si>
    <r>
      <t>Composting - In-Vessel/</t>
    </r>
    <r>
      <rPr>
        <sz val="11"/>
        <color theme="1"/>
        <rFont val="Calibri"/>
        <family val="2"/>
      </rPr>
      <t>≤10</t>
    </r>
  </si>
  <si>
    <r>
      <t>Composting - static pile/</t>
    </r>
    <r>
      <rPr>
        <sz val="11"/>
        <color theme="1"/>
        <rFont val="Calibri"/>
        <family val="2"/>
      </rPr>
      <t>≤10</t>
    </r>
  </si>
  <si>
    <t>Composting - static pile/11</t>
  </si>
  <si>
    <t>Composting - static pile/12</t>
  </si>
  <si>
    <t>Composting - static pile/13</t>
  </si>
  <si>
    <t>Composting - static pile/14</t>
  </si>
  <si>
    <t>Composting - static pile/15</t>
  </si>
  <si>
    <t>Composting - static pile/16</t>
  </si>
  <si>
    <t>Composting - static pile/17</t>
  </si>
  <si>
    <t>Composting - static pile/18</t>
  </si>
  <si>
    <t>Composting - static pile/19</t>
  </si>
  <si>
    <t>Composting - static pile/20</t>
  </si>
  <si>
    <t>Composting - static pile/21</t>
  </si>
  <si>
    <t>Composting - static pile/22</t>
  </si>
  <si>
    <t>Composting - static pile/23</t>
  </si>
  <si>
    <t>Composting - static pile/24</t>
  </si>
  <si>
    <t>Composting - static pile/25</t>
  </si>
  <si>
    <t>Composting - static pile/26</t>
  </si>
  <si>
    <t>Composting - static pile/27</t>
  </si>
  <si>
    <r>
      <t>Composting - static pile/</t>
    </r>
    <r>
      <rPr>
        <sz val="11"/>
        <color theme="1"/>
        <rFont val="Calibri"/>
        <family val="2"/>
      </rPr>
      <t>≥28</t>
    </r>
  </si>
  <si>
    <r>
      <t>Composting - intensive windrow/</t>
    </r>
    <r>
      <rPr>
        <sz val="11"/>
        <color theme="1"/>
        <rFont val="Calibri"/>
        <family val="2"/>
      </rPr>
      <t>≤10</t>
    </r>
  </si>
  <si>
    <t>Composting - intensive windrow/14</t>
  </si>
  <si>
    <t>Composting - intensive windrow/15</t>
  </si>
  <si>
    <t>Composting - intensive windrow/16</t>
  </si>
  <si>
    <t>Composting - intensive windrow/17</t>
  </si>
  <si>
    <t>Composting - intensive windrow/18</t>
  </si>
  <si>
    <t>Composting - intensive windrow/19</t>
  </si>
  <si>
    <t>Composting - intensive windrow/20</t>
  </si>
  <si>
    <t>Composting - intensive windrow/21</t>
  </si>
  <si>
    <t>Composting - intensive windrow/22</t>
  </si>
  <si>
    <t>Composting - intensive windrow/23</t>
  </si>
  <si>
    <t>Composting - intensive windrow/24</t>
  </si>
  <si>
    <t>Composting - intensive windrow/25</t>
  </si>
  <si>
    <t>Composting - intensive windrow/26</t>
  </si>
  <si>
    <t>Composting - intensive windrow/27</t>
  </si>
  <si>
    <r>
      <t>Composting - intensive windrow/</t>
    </r>
    <r>
      <rPr>
        <sz val="11"/>
        <color theme="1"/>
        <rFont val="Calibri"/>
        <family val="2"/>
      </rPr>
      <t>≥28</t>
    </r>
  </si>
  <si>
    <t>Composting - intensive windrow/12</t>
  </si>
  <si>
    <t>Composting - intensive windrow/11</t>
  </si>
  <si>
    <t>Composting - intensive windrow/13</t>
  </si>
  <si>
    <r>
      <t>Composting - passive windrow/</t>
    </r>
    <r>
      <rPr>
        <sz val="11"/>
        <color theme="1"/>
        <rFont val="Calibri"/>
        <family val="2"/>
      </rPr>
      <t>≤10</t>
    </r>
  </si>
  <si>
    <t>Composting - passive windrow/11</t>
  </si>
  <si>
    <t>Composting - passive windrow/12</t>
  </si>
  <si>
    <t>Composting - passive windrow/13</t>
  </si>
  <si>
    <t>Composting - passive windrow/14</t>
  </si>
  <si>
    <t>Composting - passive windrow/15</t>
  </si>
  <si>
    <t>Composting - passive windrow/16</t>
  </si>
  <si>
    <t>Composting - passive windrow/17</t>
  </si>
  <si>
    <t>Composting - passive windrow/18</t>
  </si>
  <si>
    <t>Composting - passive windrow/19</t>
  </si>
  <si>
    <t>Composting - passive windrow/20</t>
  </si>
  <si>
    <t>Composting - passive windrow/21</t>
  </si>
  <si>
    <t>Composting - passive windrow/22</t>
  </si>
  <si>
    <t>Composting - passive windrow/23</t>
  </si>
  <si>
    <t>Composting - passive windrow/24</t>
  </si>
  <si>
    <t>Composting - passive windrow/25</t>
  </si>
  <si>
    <t>Composting - passive windrow/26</t>
  </si>
  <si>
    <t>Composting - passive windrow/27</t>
  </si>
  <si>
    <r>
      <t>Composting - passive windrow/</t>
    </r>
    <r>
      <rPr>
        <sz val="11"/>
        <color theme="1"/>
        <rFont val="Calibri"/>
        <family val="2"/>
      </rPr>
      <t>≥28</t>
    </r>
  </si>
  <si>
    <r>
      <t>Aerobic treatment/</t>
    </r>
    <r>
      <rPr>
        <sz val="11"/>
        <color theme="1"/>
        <rFont val="Calibri"/>
        <family val="2"/>
      </rPr>
      <t>≤10</t>
    </r>
  </si>
  <si>
    <t>Aerobic treatment/11</t>
  </si>
  <si>
    <t>Aerobic treatment/12</t>
  </si>
  <si>
    <t>Aerobic treatment/13</t>
  </si>
  <si>
    <t>Aerobic treatment/14</t>
  </si>
  <si>
    <t>Aerobic treatment/15</t>
  </si>
  <si>
    <t>Aerobic treatment/16</t>
  </si>
  <si>
    <t>Aerobic treatment/17</t>
  </si>
  <si>
    <t>Aerobic treatment/18</t>
  </si>
  <si>
    <t>Aerobic treatment/19</t>
  </si>
  <si>
    <t>Aerobic treatment/20</t>
  </si>
  <si>
    <t>Aerobic treatment/21</t>
  </si>
  <si>
    <t>Aerobic treatment/22</t>
  </si>
  <si>
    <t>Aerobic treatment/23</t>
  </si>
  <si>
    <t>Aerobic treatment/24</t>
  </si>
  <si>
    <t>Aerobic treatment/25</t>
  </si>
  <si>
    <t>Aerobic treatment/26</t>
  </si>
  <si>
    <t>Aerobic treatment/27</t>
  </si>
  <si>
    <r>
      <t>Aerobic treatment/</t>
    </r>
    <r>
      <rPr>
        <sz val="11"/>
        <color theme="1"/>
        <rFont val="Calibri"/>
        <family val="2"/>
      </rPr>
      <t>≥28</t>
    </r>
  </si>
  <si>
    <t>System</t>
  </si>
  <si>
    <t>Table 10.17</t>
  </si>
  <si>
    <t>Average Annual Temperature:</t>
  </si>
  <si>
    <t>Dry Lot</t>
  </si>
  <si>
    <t>Liquid/Slurry with crust</t>
  </si>
  <si>
    <t>Liquid/Slurry without crust</t>
  </si>
  <si>
    <t>Pit storage &lt;1 month</t>
  </si>
  <si>
    <t>Pit storage &gt;1 month</t>
  </si>
  <si>
    <t>Composting - In-Vessel</t>
  </si>
  <si>
    <t>Aerobic treatment</t>
  </si>
  <si>
    <t>system % of total</t>
  </si>
  <si>
    <t>≤10</t>
  </si>
  <si>
    <t>≥28</t>
  </si>
  <si>
    <t>System/Temp</t>
  </si>
  <si>
    <t>Weighted MCF</t>
  </si>
  <si>
    <t>Wt</t>
  </si>
  <si>
    <t>CH4 EF (kg CH4 head-1 yr-1)</t>
  </si>
  <si>
    <t>CH4 (kg CH4 yr-1)</t>
  </si>
  <si>
    <t>Total CH4 (t CO2e yr-1)</t>
  </si>
  <si>
    <t>Nmass (kg)</t>
  </si>
  <si>
    <t>N rate (dairy)</t>
  </si>
  <si>
    <t>N rate (other cattle)</t>
  </si>
  <si>
    <t>EF3</t>
  </si>
  <si>
    <r>
      <t>Deep bedding &lt;1 month, no mixing/</t>
    </r>
    <r>
      <rPr>
        <sz val="11"/>
        <color theme="1"/>
        <rFont val="Calibri"/>
        <family val="2"/>
      </rPr>
      <t>≤10</t>
    </r>
  </si>
  <si>
    <r>
      <t>Deep bedding &lt;1 month, no mixing/</t>
    </r>
    <r>
      <rPr>
        <sz val="11"/>
        <color theme="1"/>
        <rFont val="Calibri"/>
        <family val="2"/>
      </rPr>
      <t>≥28</t>
    </r>
  </si>
  <si>
    <t>Deep bedding &lt;1 month, no mixing/11</t>
  </si>
  <si>
    <t>Deep bedding &lt;1 month, no mixing/12</t>
  </si>
  <si>
    <t>Deep bedding &lt;1 month, no mixing/13</t>
  </si>
  <si>
    <t>Deep bedding &lt;1 month, no mixing/14</t>
  </si>
  <si>
    <t>Deep bedding &lt;1 month, no mixing/15</t>
  </si>
  <si>
    <t>Deep bedding &lt;1 month, no mixing/16</t>
  </si>
  <si>
    <t>Deep bedding &lt;1 month, no mixing/17</t>
  </si>
  <si>
    <t>Deep bedding &lt;1 month, no mixing/18</t>
  </si>
  <si>
    <t>Deep bedding &lt;1 month, no mixing/19</t>
  </si>
  <si>
    <t>Deep bedding &lt;1 month, no mixing/20</t>
  </si>
  <si>
    <t>Deep bedding &lt;1 month, no mixing/21</t>
  </si>
  <si>
    <t>Deep bedding &lt;1 month, no mixing/22</t>
  </si>
  <si>
    <t>Deep bedding &lt;1 month, no mixing/23</t>
  </si>
  <si>
    <t>Deep bedding &lt;1 month, no mixing/24</t>
  </si>
  <si>
    <t>Deep bedding &lt;1 month, no mixing/25</t>
  </si>
  <si>
    <t>Deep bedding &lt;1 month, no mixing/26</t>
  </si>
  <si>
    <t>Deep bedding &lt;1 month, no mixing/27</t>
  </si>
  <si>
    <r>
      <t>Deep bedding &lt;1 month, active mixing/</t>
    </r>
    <r>
      <rPr>
        <sz val="11"/>
        <color theme="1"/>
        <rFont val="Calibri"/>
        <family val="2"/>
      </rPr>
      <t>≤10</t>
    </r>
  </si>
  <si>
    <r>
      <t>Deep bedding &lt;1 month, active mixing/</t>
    </r>
    <r>
      <rPr>
        <sz val="11"/>
        <color theme="1"/>
        <rFont val="Calibri"/>
        <family val="2"/>
      </rPr>
      <t>≥28</t>
    </r>
  </si>
  <si>
    <t>Deep bedding &lt;1 month, active mixing/11</t>
  </si>
  <si>
    <t>Deep bedding &lt;1 month, active mixing/12</t>
  </si>
  <si>
    <t>Deep bedding &lt;1 month, active mixing/13</t>
  </si>
  <si>
    <t>Deep bedding &lt;1 month, active mixing/14</t>
  </si>
  <si>
    <t>Deep bedding &lt;1 month, active mixing/15</t>
  </si>
  <si>
    <t>Deep bedding &lt;1 month, active mixing/16</t>
  </si>
  <si>
    <t>Deep bedding &lt;1 month, active mixing/17</t>
  </si>
  <si>
    <t>Deep bedding &lt;1 month, active mixing/18</t>
  </si>
  <si>
    <t>Deep bedding &lt;1 month, active mixing/19</t>
  </si>
  <si>
    <t>Deep bedding &lt;1 month, active mixing/20</t>
  </si>
  <si>
    <t>Deep bedding &lt;1 month, active mixing/21</t>
  </si>
  <si>
    <t>Deep bedding &lt;1 month, active mixing/22</t>
  </si>
  <si>
    <t>Deep bedding &lt;1 month, active mixing/23</t>
  </si>
  <si>
    <t>Deep bedding &lt;1 month, active mixing/24</t>
  </si>
  <si>
    <t>Deep bedding &lt;1 month, active mixing/25</t>
  </si>
  <si>
    <t>Deep bedding &lt;1 month, active mixing/26</t>
  </si>
  <si>
    <t>Deep bedding &lt;1 month, active mixing/27</t>
  </si>
  <si>
    <r>
      <t>Deep bedding &gt;1 month, no mixing/</t>
    </r>
    <r>
      <rPr>
        <sz val="11"/>
        <color theme="1"/>
        <rFont val="Calibri"/>
        <family val="2"/>
      </rPr>
      <t>≤10</t>
    </r>
  </si>
  <si>
    <r>
      <t>Deep bedding &gt;1 month, no mixing/</t>
    </r>
    <r>
      <rPr>
        <sz val="11"/>
        <color theme="1"/>
        <rFont val="Calibri"/>
        <family val="2"/>
      </rPr>
      <t>≥28</t>
    </r>
  </si>
  <si>
    <t>Deep bedding &gt;1 month, no mixing/11</t>
  </si>
  <si>
    <t>Deep bedding &gt;1 month, no mixing/12</t>
  </si>
  <si>
    <t>Deep bedding &gt;1 month, no mixing/13</t>
  </si>
  <si>
    <t>Deep bedding &gt;1 month, no mixing/14</t>
  </si>
  <si>
    <t>Deep bedding &gt;1 month, no mixing/15</t>
  </si>
  <si>
    <t>Deep bedding &gt;1 month, no mixing/16</t>
  </si>
  <si>
    <t>Deep bedding &gt;1 month, no mixing/17</t>
  </si>
  <si>
    <t>Deep bedding &gt;1 month, no mixing/18</t>
  </si>
  <si>
    <t>Deep bedding &gt;1 month, no mixing/19</t>
  </si>
  <si>
    <t>Deep bedding &gt;1 month, no mixing/20</t>
  </si>
  <si>
    <t>Deep bedding &gt;1 month, no mixing/21</t>
  </si>
  <si>
    <t>Deep bedding &gt;1 month, no mixing/22</t>
  </si>
  <si>
    <t>Deep bedding &gt;1 month, no mixing/23</t>
  </si>
  <si>
    <t>Deep bedding &gt;1 month, no mixing/24</t>
  </si>
  <si>
    <t>Deep bedding &gt;1 month, no mixing/25</t>
  </si>
  <si>
    <t>Deep bedding &gt;1 month, no mixing/26</t>
  </si>
  <si>
    <t>Deep bedding &gt;1 month, no mixing/27</t>
  </si>
  <si>
    <r>
      <t>Deep bedding &gt;1 month, active mixing/</t>
    </r>
    <r>
      <rPr>
        <sz val="11"/>
        <color theme="1"/>
        <rFont val="Calibri"/>
        <family val="2"/>
      </rPr>
      <t>≤10</t>
    </r>
  </si>
  <si>
    <r>
      <t>Deep bedding &gt;1 month, active mixing/</t>
    </r>
    <r>
      <rPr>
        <sz val="11"/>
        <color theme="1"/>
        <rFont val="Calibri"/>
        <family val="2"/>
      </rPr>
      <t>≥28</t>
    </r>
  </si>
  <si>
    <t>Deep bedding &gt;1 month, active mixing/11</t>
  </si>
  <si>
    <t>Deep bedding &gt;1 month, active mixing/12</t>
  </si>
  <si>
    <t>Deep bedding &gt;1 month, active mixing/13</t>
  </si>
  <si>
    <t>Deep bedding &gt;1 month, active mixing/14</t>
  </si>
  <si>
    <t>Deep bedding &gt;1 month, active mixing/15</t>
  </si>
  <si>
    <t>Deep bedding &gt;1 month, active mixing/16</t>
  </si>
  <si>
    <t>Deep bedding &gt;1 month, active mixing/17</t>
  </si>
  <si>
    <t>Deep bedding &gt;1 month, active mixing/18</t>
  </si>
  <si>
    <t>Deep bedding &gt;1 month, active mixing/19</t>
  </si>
  <si>
    <t>Deep bedding &gt;1 month, active mixing/20</t>
  </si>
  <si>
    <t>Deep bedding &gt;1 month, active mixing/21</t>
  </si>
  <si>
    <t>Deep bedding &gt;1 month, active mixing/22</t>
  </si>
  <si>
    <t>Deep bedding &gt;1 month, active mixing/23</t>
  </si>
  <si>
    <t>Deep bedding &gt;1 month, active mixing/24</t>
  </si>
  <si>
    <t>Deep bedding &gt;1 month, active mixing/25</t>
  </si>
  <si>
    <t>Deep bedding &gt;1 month, active mixing/26</t>
  </si>
  <si>
    <t>Deep bedding &gt;1 month, active mixing/27</t>
  </si>
  <si>
    <t>Deep bedding &lt;1 month, no mixing</t>
  </si>
  <si>
    <t>Deep bedding &lt;1 month, active mixing</t>
  </si>
  <si>
    <t>Deep bedding &gt;1 month, no mixing</t>
  </si>
  <si>
    <t>Deep bedding &gt;1 month, active mixing</t>
  </si>
  <si>
    <t>MS</t>
  </si>
  <si>
    <t>CH4 factors</t>
  </si>
  <si>
    <t>N2O factors</t>
  </si>
  <si>
    <t>Nrate (kg N (1000 kg animal mass)-1</t>
  </si>
  <si>
    <t>N2O(direct) (kg N2O-N)</t>
  </si>
  <si>
    <t>N2O(direct) (kg N2O yr-1)</t>
  </si>
  <si>
    <t>N2O(direct) (t CO2e yr-1)</t>
  </si>
  <si>
    <t>Total N2O(direct) (t CO2e yr-1)</t>
  </si>
  <si>
    <t>FracGas/100</t>
  </si>
  <si>
    <t>Dairy</t>
  </si>
  <si>
    <t>Other</t>
  </si>
  <si>
    <t>Nex (kg N animal-1 yr-1)</t>
  </si>
  <si>
    <t>Nvolatilization</t>
  </si>
  <si>
    <t>Indirect emissions from volatilization(kg N2O yr-1)</t>
  </si>
  <si>
    <t>Total N2o(indirect (t CO2e yr-1)</t>
  </si>
  <si>
    <t>Total N2O(indirect (t CO2e yr-1)</t>
  </si>
  <si>
    <t>Geographic Region:</t>
  </si>
  <si>
    <t>FracLoss/100</t>
  </si>
  <si>
    <t>NMMS_Avb (kg N yr-1)</t>
  </si>
  <si>
    <t>%N</t>
  </si>
  <si>
    <t>Organic Fertilizer:</t>
  </si>
  <si>
    <t>Total Manure Available for Application (kg N yr-1)</t>
  </si>
  <si>
    <t>% of managed manure applied to fields:</t>
  </si>
  <si>
    <t>Synthetic Fertilizer Application:</t>
  </si>
  <si>
    <t>Organic Manure Application:</t>
  </si>
  <si>
    <t>Urea Application:</t>
  </si>
  <si>
    <t>Amount of urea fertilization (kg yr-1)</t>
  </si>
  <si>
    <t>Urea:</t>
  </si>
  <si>
    <t>Anhydrous Ammonia (NH3) "Ammonia"</t>
  </si>
  <si>
    <t>Ammonium Sulfate [(NH4)2SO4]</t>
  </si>
  <si>
    <t>Ammonium Nitrate (NH4NO3)</t>
  </si>
  <si>
    <t>Emissions Calculations:</t>
  </si>
  <si>
    <t>Direct N2O Emissions (t CO2e yr-1)</t>
  </si>
  <si>
    <t>Atm Deposition (t CO2e yr-1)</t>
  </si>
  <si>
    <t>Leaching (t CO2e yr-1)</t>
  </si>
  <si>
    <t>Urea Emissions (t CO2e yr-1)</t>
  </si>
  <si>
    <t>Area of Land Where Fertilizer is Applied (ha)</t>
  </si>
  <si>
    <t xml:space="preserve">Fertilizer </t>
  </si>
  <si>
    <t>Emission Factor (t CO2/t fertilizer)</t>
  </si>
  <si>
    <t>Area Applied</t>
  </si>
  <si>
    <t>Application Rate (t ha-1)</t>
  </si>
  <si>
    <t>Total Amount Applied (kg yr-1)</t>
  </si>
  <si>
    <t>Area of Application (ha)</t>
  </si>
  <si>
    <t>Total Fertilizer Applied (kg yr-1)</t>
  </si>
  <si>
    <t>Emissions from Fertilizer Production (t CO2e yr-1)</t>
  </si>
  <si>
    <t>Total Emissions from Fertilizer (t CO2e yr-1)</t>
  </si>
  <si>
    <t>Total N Applied (kg N yr-1)</t>
  </si>
  <si>
    <t>If necessary, change units using drop-down menus.</t>
  </si>
  <si>
    <r>
      <t xml:space="preserve">Parameter Description: </t>
    </r>
    <r>
      <rPr>
        <sz val="12"/>
        <color theme="1"/>
        <rFont val="Times New Roman"/>
        <family val="1"/>
      </rPr>
      <t/>
    </r>
  </si>
  <si>
    <t>Calculated value :</t>
  </si>
  <si>
    <t>Instructions: Enter data into light blue cells for both baseline and project scenarios.</t>
  </si>
  <si>
    <t>% of manure managed under each system</t>
  </si>
  <si>
    <r>
      <t>To estimate emissions and net emission reductions from grazing land and livestock management where reductions from focal sources are less than 5,000 t CO</t>
    </r>
    <r>
      <rPr>
        <vertAlign val="subscript"/>
        <sz val="12"/>
        <color theme="1"/>
        <rFont val="Times New Roman"/>
        <family val="1"/>
      </rPr>
      <t>2</t>
    </r>
    <r>
      <rPr>
        <sz val="12"/>
        <color theme="1"/>
        <rFont val="Times New Roman"/>
        <family val="1"/>
      </rPr>
      <t>-e annually.</t>
    </r>
  </si>
  <si>
    <t>T-XANTE</t>
  </si>
  <si>
    <t xml:space="preserve">Is your project located within the continental United States? </t>
  </si>
  <si>
    <t>Manure:</t>
  </si>
  <si>
    <t>Fertilizer:</t>
  </si>
  <si>
    <t>Fossil Fuel:</t>
  </si>
  <si>
    <t>yes</t>
  </si>
  <si>
    <t>no</t>
  </si>
  <si>
    <t>MODULE SELECTION FOR YOUR PROJECT:</t>
  </si>
  <si>
    <t>Size of Project Area</t>
  </si>
  <si>
    <t>Soil Type</t>
  </si>
  <si>
    <t>Mean Annual Temperature, Mean Daily Temperature during winter months (if applicable)</t>
  </si>
  <si>
    <t>Type of Manure Management System</t>
  </si>
  <si>
    <t>Fertilizer Application Rates</t>
  </si>
  <si>
    <t>High Activity Clay</t>
  </si>
  <si>
    <t>Low Activity Clay</t>
  </si>
  <si>
    <r>
      <t>Total Weight Applied (kg yr</t>
    </r>
    <r>
      <rPr>
        <b/>
        <vertAlign val="superscript"/>
        <sz val="11"/>
        <color theme="1"/>
        <rFont val="Calibri"/>
        <family val="2"/>
        <scheme val="minor"/>
      </rPr>
      <t>-1</t>
    </r>
    <r>
      <rPr>
        <b/>
        <sz val="11"/>
        <color theme="1"/>
        <rFont val="Calibri"/>
        <family val="2"/>
        <scheme val="minor"/>
      </rPr>
      <t>)</t>
    </r>
  </si>
  <si>
    <r>
      <t>Net microscale fossil fuel emissions (t CO</t>
    </r>
    <r>
      <rPr>
        <vertAlign val="subscript"/>
        <sz val="11"/>
        <color theme="1"/>
        <rFont val="Calibri"/>
        <family val="2"/>
        <scheme val="minor"/>
      </rPr>
      <t>2</t>
    </r>
    <r>
      <rPr>
        <sz val="11"/>
        <color theme="1"/>
        <rFont val="Calibri"/>
        <family val="2"/>
        <scheme val="minor"/>
      </rPr>
      <t>e)</t>
    </r>
  </si>
  <si>
    <r>
      <t>t CO</t>
    </r>
    <r>
      <rPr>
        <vertAlign val="subscript"/>
        <sz val="11"/>
        <rFont val="Calibri"/>
        <family val="2"/>
        <scheme val="minor"/>
      </rPr>
      <t>2</t>
    </r>
    <r>
      <rPr>
        <sz val="11"/>
        <rFont val="Calibri"/>
        <family val="2"/>
        <scheme val="minor"/>
      </rPr>
      <t>e yr</t>
    </r>
    <r>
      <rPr>
        <vertAlign val="superscript"/>
        <sz val="11"/>
        <rFont val="Calibri"/>
        <family val="2"/>
        <scheme val="minor"/>
      </rPr>
      <t>-1</t>
    </r>
  </si>
  <si>
    <t>Livestock Population Information</t>
  </si>
  <si>
    <t>Quantities of Fossil Fuels Consumed</t>
  </si>
  <si>
    <r>
      <t>t CO</t>
    </r>
    <r>
      <rPr>
        <vertAlign val="subscript"/>
        <sz val="11"/>
        <color theme="1"/>
        <rFont val="Calibri"/>
        <family val="2"/>
        <scheme val="minor"/>
      </rPr>
      <t>2</t>
    </r>
    <r>
      <rPr>
        <sz val="11"/>
        <color theme="1"/>
        <rFont val="Calibri"/>
        <family val="2"/>
        <scheme val="minor"/>
      </rPr>
      <t>e yr</t>
    </r>
    <r>
      <rPr>
        <vertAlign val="superscript"/>
        <sz val="11"/>
        <color theme="1"/>
        <rFont val="Calibri"/>
        <family val="2"/>
        <scheme val="minor"/>
      </rPr>
      <t>-1</t>
    </r>
  </si>
  <si>
    <t>Enteric Fermentation:</t>
  </si>
  <si>
    <t>Emission Category</t>
  </si>
  <si>
    <t>Module Selection</t>
  </si>
  <si>
    <t>Instructions: After entering project data into each tab in the workbook (BIOTIC, ENTERIC, etc.), this tool will indicate which module should be used for each emission category.</t>
  </si>
  <si>
    <r>
      <t>Average Daily Weight Gain (kg day</t>
    </r>
    <r>
      <rPr>
        <vertAlign val="superscript"/>
        <sz val="11"/>
        <color theme="1"/>
        <rFont val="Calibri"/>
        <family val="2"/>
        <scheme val="minor"/>
      </rPr>
      <t>-1</t>
    </r>
    <r>
      <rPr>
        <sz val="11"/>
        <color theme="1"/>
        <rFont val="Calibri"/>
        <family val="2"/>
        <scheme val="minor"/>
      </rPr>
      <t>)</t>
    </r>
  </si>
  <si>
    <r>
      <t xml:space="preserve">Mean daily temperature </t>
    </r>
    <r>
      <rPr>
        <b/>
        <sz val="11"/>
        <color theme="1"/>
        <rFont val="Calibri"/>
        <family val="2"/>
        <scheme val="minor"/>
      </rPr>
      <t xml:space="preserve">during winter season (if &lt;20 </t>
    </r>
    <r>
      <rPr>
        <b/>
        <sz val="11"/>
        <color theme="1"/>
        <rFont val="Calibri"/>
        <family val="2"/>
      </rPr>
      <t>°</t>
    </r>
    <r>
      <rPr>
        <b/>
        <sz val="11"/>
        <color theme="1"/>
        <rFont val="Calibri"/>
        <family val="2"/>
        <scheme val="minor"/>
      </rPr>
      <t>C)</t>
    </r>
    <r>
      <rPr>
        <sz val="11"/>
        <color theme="1"/>
        <rFont val="Calibri"/>
        <family val="2"/>
        <scheme val="minor"/>
      </rPr>
      <t xml:space="preserve">: </t>
    </r>
  </si>
  <si>
    <r>
      <rPr>
        <sz val="11"/>
        <color theme="1"/>
        <rFont val="Calibri"/>
        <family val="2"/>
      </rPr>
      <t>°</t>
    </r>
    <r>
      <rPr>
        <sz val="11"/>
        <color theme="1"/>
        <rFont val="Calibri"/>
        <family val="2"/>
        <scheme val="minor"/>
      </rPr>
      <t xml:space="preserve"> C</t>
    </r>
  </si>
  <si>
    <r>
      <t>Net microscale manure emissions (t CO</t>
    </r>
    <r>
      <rPr>
        <vertAlign val="subscript"/>
        <sz val="11"/>
        <color theme="1"/>
        <rFont val="Calibri"/>
        <family val="2"/>
        <scheme val="minor"/>
      </rPr>
      <t>2</t>
    </r>
    <r>
      <rPr>
        <sz val="11"/>
        <color theme="1"/>
        <rFont val="Calibri"/>
        <family val="2"/>
        <scheme val="minor"/>
      </rPr>
      <t>e)</t>
    </r>
  </si>
  <si>
    <r>
      <t>Net microscale biotic sequestration/emissions (t CO</t>
    </r>
    <r>
      <rPr>
        <vertAlign val="subscript"/>
        <sz val="11"/>
        <color theme="1"/>
        <rFont val="Calibri"/>
        <family val="2"/>
        <scheme val="minor"/>
      </rPr>
      <t>2</t>
    </r>
    <r>
      <rPr>
        <sz val="11"/>
        <color theme="1"/>
        <rFont val="Calibri"/>
        <family val="2"/>
        <scheme val="minor"/>
      </rPr>
      <t>e)</t>
    </r>
  </si>
  <si>
    <r>
      <t>Net microscale enteric emissions (t CO</t>
    </r>
    <r>
      <rPr>
        <vertAlign val="subscript"/>
        <sz val="11"/>
        <color theme="1"/>
        <rFont val="Calibri"/>
        <family val="2"/>
        <scheme val="minor"/>
      </rPr>
      <t>2</t>
    </r>
    <r>
      <rPr>
        <sz val="11"/>
        <color theme="1"/>
        <rFont val="Calibri"/>
        <family val="2"/>
        <scheme val="minor"/>
      </rPr>
      <t>e)</t>
    </r>
  </si>
  <si>
    <r>
      <t>Net microscale fertilizer emissions (t CO</t>
    </r>
    <r>
      <rPr>
        <vertAlign val="subscript"/>
        <sz val="11"/>
        <rFont val="Calibri"/>
        <family val="2"/>
        <scheme val="minor"/>
      </rPr>
      <t>2</t>
    </r>
    <r>
      <rPr>
        <sz val="11"/>
        <rFont val="Calibri"/>
        <family val="2"/>
        <scheme val="minor"/>
      </rPr>
      <t>e)</t>
    </r>
  </si>
  <si>
    <t>A-MICROSCALE and T-XANTE</t>
  </si>
  <si>
    <t>The module estimates both emissions in the baseline case and with project implementation. The results are fed into T-XANTE to determine which modules should be used.</t>
  </si>
  <si>
    <t>E-FERT</t>
  </si>
  <si>
    <t>E_FF</t>
  </si>
  <si>
    <t>E_MAN</t>
  </si>
  <si>
    <t>E_ENT</t>
  </si>
  <si>
    <t>S_BIO</t>
  </si>
  <si>
    <t>pounds</t>
  </si>
  <si>
    <t>=</t>
  </si>
  <si>
    <t>acres</t>
  </si>
  <si>
    <t>hectares (ha)</t>
  </si>
  <si>
    <t>kilograms (kg)</t>
  </si>
  <si>
    <t>UNIT CONVERTER</t>
  </si>
  <si>
    <t>Net energy for lactation*</t>
  </si>
  <si>
    <t>Net energy for pregnancy*</t>
  </si>
  <si>
    <t>Dairy Cow</t>
  </si>
  <si>
    <t>Mature Female</t>
  </si>
  <si>
    <t>Mature Male</t>
  </si>
  <si>
    <t>Replacement/Growing</t>
  </si>
  <si>
    <t>Live Weight, kg</t>
  </si>
  <si>
    <t>Weight gain (kg day-1)</t>
  </si>
  <si>
    <t>Milk Production, kg yr-1</t>
  </si>
  <si>
    <t>% Pregnant</t>
  </si>
  <si>
    <t>IPCC Equation #</t>
  </si>
  <si>
    <t>Eq. 10.24</t>
  </si>
  <si>
    <t>from enteric</t>
  </si>
  <si>
    <t>0.04 * GE (Eq. 10.24)</t>
  </si>
  <si>
    <t>Eq. 10.23</t>
  </si>
  <si>
    <t>CH4 EMISSIONS</t>
  </si>
  <si>
    <t>N2O EMISSIONS</t>
  </si>
  <si>
    <t>Eq. 10.34</t>
  </si>
  <si>
    <r>
      <t xml:space="preserve">Parameter Name: </t>
    </r>
    <r>
      <rPr>
        <sz val="12"/>
        <color rgb="FFFF0000"/>
        <rFont val="Times New Roman"/>
        <family val="1"/>
      </rPr>
      <t>S-BIO</t>
    </r>
  </si>
  <si>
    <r>
      <t xml:space="preserve">Parameter Name: </t>
    </r>
    <r>
      <rPr>
        <sz val="12"/>
        <color rgb="FFFF0000"/>
        <rFont val="Times New Roman"/>
        <family val="1"/>
      </rPr>
      <t>E-ENT</t>
    </r>
  </si>
  <si>
    <r>
      <t xml:space="preserve">Parameter Name: </t>
    </r>
    <r>
      <rPr>
        <sz val="12"/>
        <color rgb="FFFF0000"/>
        <rFont val="Times New Roman"/>
        <family val="1"/>
      </rPr>
      <t>E-MAN</t>
    </r>
  </si>
  <si>
    <r>
      <t xml:space="preserve">Parameter Name: </t>
    </r>
    <r>
      <rPr>
        <sz val="12"/>
        <color rgb="FFFF0000"/>
        <rFont val="Times New Roman"/>
        <family val="1"/>
      </rPr>
      <t>E-FERT</t>
    </r>
  </si>
  <si>
    <r>
      <t xml:space="preserve">Parameter Name: </t>
    </r>
    <r>
      <rPr>
        <sz val="12"/>
        <color rgb="FFFF0000"/>
        <rFont val="Times New Roman"/>
        <family val="1"/>
      </rPr>
      <t>E-FF</t>
    </r>
  </si>
  <si>
    <r>
      <t>Where reductions or emissions from focal sources are less than 5,000 t CO</t>
    </r>
    <r>
      <rPr>
        <vertAlign val="subscript"/>
        <sz val="12"/>
        <color theme="1"/>
        <rFont val="Times New Roman"/>
        <family val="1"/>
      </rPr>
      <t>2</t>
    </r>
    <r>
      <rPr>
        <sz val="12"/>
        <color theme="1"/>
        <rFont val="Times New Roman"/>
        <family val="1"/>
      </rPr>
      <t xml:space="preserve">-e annually  (see </t>
    </r>
    <r>
      <rPr>
        <sz val="12"/>
        <color rgb="FF00B050"/>
        <rFont val="Times New Roman"/>
        <family val="1"/>
      </rPr>
      <t>T-XANTE</t>
    </r>
    <r>
      <rPr>
        <sz val="12"/>
        <color theme="1"/>
        <rFont val="Times New Roman"/>
        <family val="1"/>
      </rPr>
      <t>) the module can be used.</t>
    </r>
  </si>
  <si>
    <t>Biotic Sequestration (S_BIO):</t>
  </si>
  <si>
    <t>Are you planting trees in the project area?</t>
  </si>
  <si>
    <t>Tree Planting?</t>
  </si>
  <si>
    <t>Yes</t>
  </si>
  <si>
    <t>No</t>
  </si>
  <si>
    <t>Africa/Tropical Montane</t>
  </si>
  <si>
    <t>Africa/Tropical wet</t>
  </si>
  <si>
    <t>Africa/Tropical Moist</t>
  </si>
  <si>
    <t>Africa/Tropical Dry</t>
  </si>
  <si>
    <t>Africa/Warm Temperate Moist</t>
  </si>
  <si>
    <t>Africa/Warm Temperate Dry</t>
  </si>
  <si>
    <t>Africa/Cool Temperate Moist</t>
  </si>
  <si>
    <t>Africa/Cool Temperate Dry</t>
  </si>
  <si>
    <t>Africa/Boreal Moist</t>
  </si>
  <si>
    <t>Africa/Boreal Dry</t>
  </si>
  <si>
    <t>Asia/Tropical Montane</t>
  </si>
  <si>
    <t>Asia/Tropical wet</t>
  </si>
  <si>
    <t>Asia/Tropical Moist</t>
  </si>
  <si>
    <t>Asia/Tropical Dry</t>
  </si>
  <si>
    <t>Asia/Warm Temperate Moist</t>
  </si>
  <si>
    <t>Asia/Warm Temperate Dry</t>
  </si>
  <si>
    <t>Asia/Cool Temperate Moist</t>
  </si>
  <si>
    <t>Asia/Cool Temperate Dry</t>
  </si>
  <si>
    <t>Asia/Boreal Moist</t>
  </si>
  <si>
    <t>Asia/Boreal Dry</t>
  </si>
  <si>
    <t>Eastern Europe/Tropical Montane</t>
  </si>
  <si>
    <t>Eastern Europe/Tropical wet</t>
  </si>
  <si>
    <t>Eastern Europe/Tropical Moist</t>
  </si>
  <si>
    <t>Eastern Europe/Tropical Dry</t>
  </si>
  <si>
    <t>Eastern Europe/Warm Temperate Moist</t>
  </si>
  <si>
    <t>Eastern Europe/Warm Temperate Dry</t>
  </si>
  <si>
    <t>Eastern Europe/Cool Temperate Moist</t>
  </si>
  <si>
    <t>Eastern Europe/Cool Temperate Dry</t>
  </si>
  <si>
    <t>Eastern Europe/Boreal Moist</t>
  </si>
  <si>
    <t>Eastern Europe/Boreal Dry</t>
  </si>
  <si>
    <t>Indian Subcontinent/Tropical Montane</t>
  </si>
  <si>
    <t>Indian Subcontinent/Tropical wet</t>
  </si>
  <si>
    <t>Indian Subcontinent/Tropical Moist</t>
  </si>
  <si>
    <t>Indian Subcontinent/Tropical Dry</t>
  </si>
  <si>
    <t>Indian Subcontinent/Warm Temperate Moist</t>
  </si>
  <si>
    <t>Indian Subcontinent/Warm Temperate Dry</t>
  </si>
  <si>
    <t>Indian Subcontinent/Cool Temperate Moist</t>
  </si>
  <si>
    <t>Indian Subcontinent/Cool Temperate Dry</t>
  </si>
  <si>
    <t>Indian Subcontinent/Boreal Moist</t>
  </si>
  <si>
    <t>Indian Subcontinent/Boreal Dry</t>
  </si>
  <si>
    <t>Latin America/Tropical Montane</t>
  </si>
  <si>
    <t>Latin America/Tropical wet</t>
  </si>
  <si>
    <t>Latin America/Tropical Moist</t>
  </si>
  <si>
    <t>Latin America/Tropical Dry</t>
  </si>
  <si>
    <t>Latin America/Warm Temperate Moist</t>
  </si>
  <si>
    <t>Latin America/Warm Temperate Dry</t>
  </si>
  <si>
    <t>Latin America/Cool Temperate Moist</t>
  </si>
  <si>
    <t>Latin America/Cool Temperate Dry</t>
  </si>
  <si>
    <t>Latin America/Boreal Moist</t>
  </si>
  <si>
    <t>Latin America/Boreal Dry</t>
  </si>
  <si>
    <t>Middle East/Tropical Montane</t>
  </si>
  <si>
    <t>Middle East/Tropical wet</t>
  </si>
  <si>
    <t>Middle East/Tropical Moist</t>
  </si>
  <si>
    <t>Middle East/Tropical Dry</t>
  </si>
  <si>
    <t>Middle East/Warm Temperate Moist</t>
  </si>
  <si>
    <t>Middle East/Warm Temperate Dry</t>
  </si>
  <si>
    <t>Middle East/Cool Temperate Moist</t>
  </si>
  <si>
    <t>Middle East/Cool Temperate Dry</t>
  </si>
  <si>
    <t>Middle East/Boreal Moist</t>
  </si>
  <si>
    <t>Middle East/Boreal Dry</t>
  </si>
  <si>
    <t>North America/Tropical Montane</t>
  </si>
  <si>
    <t>North America/Tropical wet</t>
  </si>
  <si>
    <t>North America/Tropical Moist</t>
  </si>
  <si>
    <t>North America/Tropical Dry</t>
  </si>
  <si>
    <t>North America/Warm Temperate Moist</t>
  </si>
  <si>
    <t>North America/Warm Temperate Dry</t>
  </si>
  <si>
    <t>North America/Cool Temperate Moist</t>
  </si>
  <si>
    <t>North America/Cool Temperate Dry</t>
  </si>
  <si>
    <t>North America/Boreal Moist</t>
  </si>
  <si>
    <t>North America/Boreal Dry</t>
  </si>
  <si>
    <t>Oceania/Tropical Montane</t>
  </si>
  <si>
    <t>Oceania/Tropical wet</t>
  </si>
  <si>
    <t>Oceania/Tropical Moist</t>
  </si>
  <si>
    <t>Oceania/Tropical Dry</t>
  </si>
  <si>
    <t>Oceania/Warm Temperate Moist</t>
  </si>
  <si>
    <t>Oceania/Warm Temperate Dry</t>
  </si>
  <si>
    <t>Oceania/Cool Temperate Moist</t>
  </si>
  <si>
    <t>Oceania/Cool Temperate Dry</t>
  </si>
  <si>
    <t>Oceania/Boreal Moist</t>
  </si>
  <si>
    <t>Oceania/Boreal Dry</t>
  </si>
  <si>
    <t>Western Europe/Tropical wet</t>
  </si>
  <si>
    <t>Western Europe/Tropical Moist</t>
  </si>
  <si>
    <t>Western Europe/Tropical Dry</t>
  </si>
  <si>
    <t>Western Europe/Warm Temperate Moist</t>
  </si>
  <si>
    <t>Western Europe/Warm Temperate Dry</t>
  </si>
  <si>
    <t>Western Europe/Cool Temperate Moist</t>
  </si>
  <si>
    <t>Western Europe/Cool Temperate Dry</t>
  </si>
  <si>
    <t>Western Europe/Boreal Moist</t>
  </si>
  <si>
    <t>Western Europe/Boreal Dry</t>
  </si>
  <si>
    <t>Western Europe/Tropical Montane</t>
  </si>
  <si>
    <t>Biomass accumulation rate (t/ha/yr)</t>
  </si>
  <si>
    <t>Continent/Climate Region</t>
  </si>
  <si>
    <t>Geographic Region</t>
  </si>
  <si>
    <t>Annual biomass accumulation (t/ha/yr)</t>
  </si>
  <si>
    <t>Annual C accumulation in AGB (t C/ha/yr)</t>
  </si>
  <si>
    <t>Region/Climate Region</t>
  </si>
  <si>
    <t>Total C accumulation in AGB (t C/yr)</t>
  </si>
  <si>
    <t>Soil C stock (t C/ha)</t>
  </si>
  <si>
    <t>Soil C stock change (t C/ha/yr)</t>
  </si>
  <si>
    <t>Total C accumulation in soils (t C/yr)</t>
  </si>
  <si>
    <t>Total C sequestration of project (t CO2/yr)</t>
  </si>
  <si>
    <t>Total Estimated Project Benefit</t>
  </si>
  <si>
    <t>under 5,000</t>
  </si>
  <si>
    <t>5,000-60,000</t>
  </si>
  <si>
    <t>&gt;60,000</t>
  </si>
  <si>
    <r>
      <t xml:space="preserve">Instructions: Enter data into the light blue cells for both baseline and project scenarios. </t>
    </r>
    <r>
      <rPr>
        <b/>
        <u/>
        <sz val="11"/>
        <color rgb="FFFF0000"/>
        <rFont val="Calibri"/>
        <family val="2"/>
        <scheme val="minor"/>
      </rPr>
      <t>Use the unit converter box in the upper right as needed.</t>
    </r>
  </si>
  <si>
    <t xml:space="preserve">For best results, enter data in the order shown below. </t>
  </si>
  <si>
    <t xml:space="preserve">At a minimum, enteric data should be entered before manure data, and manure data should be entered before fertilizer data. </t>
  </si>
  <si>
    <t>This is because the spreadsheet calculations are linked.</t>
  </si>
  <si>
    <t xml:space="preserve">     1. Biotic</t>
  </si>
  <si>
    <t xml:space="preserve">     2. Enteric</t>
  </si>
  <si>
    <t xml:space="preserve">     3. Manure</t>
  </si>
  <si>
    <t xml:space="preserve">     4. Fertilizer</t>
  </si>
  <si>
    <t xml:space="preserve">     5. Fossil fuel</t>
  </si>
  <si>
    <t>After all data are entered, view results in the T-XANTE tab.</t>
  </si>
  <si>
    <t>In each tab of the spreadsheet, enter data into BLUE CELLS.</t>
  </si>
  <si>
    <t>Total CO2 emissions (kg CO2)</t>
  </si>
  <si>
    <t>Mature Dairy Cows (Lactating cows)</t>
  </si>
  <si>
    <t>Mature females (dry cows)</t>
  </si>
  <si>
    <t>Mature Males (Steers)</t>
  </si>
  <si>
    <t>Calves on forage (heifer)</t>
  </si>
  <si>
    <t>Feed Types</t>
  </si>
  <si>
    <t>NDF</t>
  </si>
  <si>
    <t>DEE</t>
  </si>
  <si>
    <t xml:space="preserve">    Stall-fed/Confined (tethered, pen, barn)</t>
  </si>
  <si>
    <t xml:space="preserve">    On pasture (confined in areas with sufficient forage)</t>
  </si>
  <si>
    <r>
      <rPr>
        <b/>
        <sz val="11"/>
        <color theme="1"/>
        <rFont val="Calibri"/>
        <family val="2"/>
        <scheme val="minor"/>
      </rPr>
      <t>Feeding Situation</t>
    </r>
    <r>
      <rPr>
        <sz val="11"/>
        <color theme="1"/>
        <rFont val="Calibri"/>
        <family val="2"/>
        <scheme val="minor"/>
      </rPr>
      <t>: Enter the % of the year under each feeding situation per animal category.</t>
    </r>
  </si>
  <si>
    <t>Feed Type</t>
  </si>
  <si>
    <t>Category</t>
  </si>
  <si>
    <t>Low quality forage</t>
  </si>
  <si>
    <t>Pasture fed</t>
  </si>
  <si>
    <t>Grain</t>
  </si>
  <si>
    <r>
      <t xml:space="preserve">Feeding Regime: </t>
    </r>
    <r>
      <rPr>
        <sz val="11"/>
        <color theme="1"/>
        <rFont val="Calibri"/>
        <family val="2"/>
        <scheme val="minor"/>
      </rPr>
      <t xml:space="preserve">Enter the type and % of each feed in the total </t>
    </r>
    <r>
      <rPr>
        <u/>
        <sz val="11"/>
        <color theme="1"/>
        <rFont val="Calibri"/>
        <family val="2"/>
        <scheme val="minor"/>
      </rPr>
      <t>annual</t>
    </r>
    <r>
      <rPr>
        <sz val="11"/>
        <color theme="1"/>
        <rFont val="Calibri"/>
        <family val="2"/>
        <scheme val="minor"/>
      </rPr>
      <t xml:space="preserve"> diet of each animal category. </t>
    </r>
  </si>
  <si>
    <t>Int'l Feed #</t>
  </si>
  <si>
    <t>Feed Name</t>
  </si>
  <si>
    <t>Alfalfa meal, 17% CP</t>
  </si>
  <si>
    <t>Almond Hulls</t>
  </si>
  <si>
    <t>Apple Pomace</t>
  </si>
  <si>
    <t>Bakery Byproduct Meal</t>
  </si>
  <si>
    <t>Bakery Bread Waste</t>
  </si>
  <si>
    <t>Bakery, Cereal Byproduct</t>
  </si>
  <si>
    <t>Bakery, Cookie Byproduct</t>
  </si>
  <si>
    <t>Barley, Grain, Rolled</t>
  </si>
  <si>
    <t>Barley, Malt Sprouts</t>
  </si>
  <si>
    <t>Barley, Silage, Headed</t>
  </si>
  <si>
    <t>Beet, Sugar, pulp dried</t>
  </si>
  <si>
    <t>Bermudagrass, coastal, hay, early head</t>
  </si>
  <si>
    <t>Bermudagrass, Tifton-85, hay, 3-4 wk growth</t>
  </si>
  <si>
    <t>Brewer's grains, dried</t>
  </si>
  <si>
    <t>Brewer's grains, wet</t>
  </si>
  <si>
    <t>Canola seed</t>
  </si>
  <si>
    <t>Canola meal, mech. Extracted</t>
  </si>
  <si>
    <t>Chocolate Byproduct</t>
  </si>
  <si>
    <t>Citrus, pulp dried</t>
  </si>
  <si>
    <t>Corn, cobs</t>
  </si>
  <si>
    <t>Corn, distiller's grains w/ solubles, dried</t>
  </si>
  <si>
    <t>Corn, gluten feed, dried</t>
  </si>
  <si>
    <t>Corn, gluten meal, dried</t>
  </si>
  <si>
    <t>Corn, grain, cracked, dry</t>
  </si>
  <si>
    <t>Corn, Grain, ground, dry</t>
  </si>
  <si>
    <t>Corn, grain, steam-flaked</t>
  </si>
  <si>
    <t>Corn, grain, rolled, high moisture</t>
  </si>
  <si>
    <t>Corn, grain, ground, high moisture</t>
  </si>
  <si>
    <t>Corn, grain and cob, dry, ground</t>
  </si>
  <si>
    <t>Corn, grain and cob, high moisture, ground</t>
  </si>
  <si>
    <t>Corn, hominy</t>
  </si>
  <si>
    <t>Corn, silage, immature &lt;25% DM</t>
  </si>
  <si>
    <t>Corn, silage, normal, 32-38% DM</t>
  </si>
  <si>
    <t>Corn, silage, mature, &gt;40% DM</t>
  </si>
  <si>
    <t>Cotton seeds, whole seeds with lint</t>
  </si>
  <si>
    <t>Cottton hulls</t>
  </si>
  <si>
    <t>Cotton meal, solvent, 41% CP</t>
  </si>
  <si>
    <t>Grasses, intensively managed pasture</t>
  </si>
  <si>
    <t>Grasses, hay, all samples</t>
  </si>
  <si>
    <t>Grasses, hay, immature &lt;55% NDF</t>
  </si>
  <si>
    <t>Grasses, hay, mid maturity, 55-60% NDF</t>
  </si>
  <si>
    <t>Grasses, hay, mature, &lt;60% NDF</t>
  </si>
  <si>
    <t>Grasses, silage, all samples</t>
  </si>
  <si>
    <t>Grasses, silage, immature, &lt;55% NDF</t>
  </si>
  <si>
    <t>Grasses, silage, mid-maturity, 55-60% NDF</t>
  </si>
  <si>
    <t>Grasses, silage, mature, &gt;60% NDF</t>
  </si>
  <si>
    <t>Grass-Legume Mix, predominantly grass, hay, immature, &lt;51% NDF</t>
  </si>
  <si>
    <t>Grass-Legume Mix, predominantly grass, hay, mid maturity, 51-57% NDF</t>
  </si>
  <si>
    <t>Grass-Legume Mix, predominantly grass, hay, mature, &gt;57% NDF</t>
  </si>
  <si>
    <t>Grass-Legume Mix, predominantly grass, silage, immature, &lt;51% NDF</t>
  </si>
  <si>
    <t>Grass-Legume Mix, predominantly grass, silage, mid maturity, 51-57% NDF</t>
  </si>
  <si>
    <t>Grass-Legume Mix, predominantly grass, silage, mature, &gt;57% NDF</t>
  </si>
  <si>
    <t>Grass-Legume Mix, mixed grass/legume, hay, immature, &lt;47% NDF</t>
  </si>
  <si>
    <t>Grass-Legume Mix, mixed grass/legume, hay, mid maturity, 47-53% NDF</t>
  </si>
  <si>
    <t>Grass-Legume Mix, mixed grass/legume, hay, mature, &gt;53% NDF</t>
  </si>
  <si>
    <t>Grass-Legume Mix, mixed grass/legume, silage, immature, &lt;47% NDF</t>
  </si>
  <si>
    <t>Grass-Legume Mix, mixed grass/legume, silage, mid maturity, 47-53% NDF</t>
  </si>
  <si>
    <t>Grass-Legume Mix, mixed grass/legume, silage, mature, &gt;53% NDF</t>
  </si>
  <si>
    <t>Grass-Legume Mix, predominantly legume, hay, immature, &lt;44% NDF</t>
  </si>
  <si>
    <t>Grass-Legume Mix, predominantly legume, hay, mid maturity, 44-50% NDF</t>
  </si>
  <si>
    <t>Grass-Legume Mix, predominantly legume, hay, mature, &gt;50% NDF</t>
  </si>
  <si>
    <t>Grass-Legume Mix, predominantly legume, silage, immature, &lt;44% NDF</t>
  </si>
  <si>
    <t>Grass-Legume Mix, predominantly legume, silage, mid maturity, 44-50% NDF</t>
  </si>
  <si>
    <t>Grass-Legume Mix, predominantly legume, silage, mature, &gt;50% NDF</t>
  </si>
  <si>
    <t>Legumes, Forage, Pasture, intensively managed</t>
  </si>
  <si>
    <t>Legumes, Forage, Hay, all samples</t>
  </si>
  <si>
    <t>Legumes, Forage, Hay, immature, &lt;40% NDF</t>
  </si>
  <si>
    <t>Legumes, Forage, Hay, mid maturity, 40-46% NDF</t>
  </si>
  <si>
    <t>Legumes, Forage, Hay, mature, &gt;46% NDF</t>
  </si>
  <si>
    <t>Legumes, Forage, Silage, all samples</t>
  </si>
  <si>
    <t>Legumes, Forage, Silage, immature, &lt;40% NDF</t>
  </si>
  <si>
    <t>Legumes, Forage, Silage, mid maturity, 40-46% NDF</t>
  </si>
  <si>
    <t>Legumes, Forage, Silage, mature, &gt;46% NDF</t>
  </si>
  <si>
    <t>Molasses, beet sugar</t>
  </si>
  <si>
    <t>Molasses, sugarcane</t>
  </si>
  <si>
    <t>Oats, grain, rolled</t>
  </si>
  <si>
    <t>Oats, hay, headed</t>
  </si>
  <si>
    <t>Oats, silage, headed</t>
  </si>
  <si>
    <t>Peanut, meal, solvent</t>
  </si>
  <si>
    <t>Potato, byproduct meal</t>
  </si>
  <si>
    <t>Rice, bran</t>
  </si>
  <si>
    <t>Rye, annual, silage, vegetative</t>
  </si>
  <si>
    <t>Safflower, meal, solvent</t>
  </si>
  <si>
    <t>Sorghum, grain type, grain, dry rolled</t>
  </si>
  <si>
    <t>Sorghum, grain type, grain, steam-flaked</t>
  </si>
  <si>
    <t>Sorghum, grain type, silage</t>
  </si>
  <si>
    <t>Sorghum, Sudan type, hay</t>
  </si>
  <si>
    <t>Sorghum, Sudan type, silage</t>
  </si>
  <si>
    <t>Soybean, hulls</t>
  </si>
  <si>
    <t>Soybean, meal, expellers, 45% CP</t>
  </si>
  <si>
    <t>Soybean, meal, nonenzymatically browned</t>
  </si>
  <si>
    <t>Soybean, meal, solvent, 44% CP</t>
  </si>
  <si>
    <t>Soybean, meal, solvent, 48% CP</t>
  </si>
  <si>
    <t>Soybean, seeds, whole</t>
  </si>
  <si>
    <t>Soybean, seeds, whole roasted</t>
  </si>
  <si>
    <t>Soybean, silage, early maturity</t>
  </si>
  <si>
    <t>Sunflower, meal, solvent</t>
  </si>
  <si>
    <t>Sunflower, oil seeds, whole</t>
  </si>
  <si>
    <t>Tomato, Pomace</t>
  </si>
  <si>
    <t>Wheat, bran</t>
  </si>
  <si>
    <t>Wheat, grain, rolled</t>
  </si>
  <si>
    <t>Wheat, hay, headed</t>
  </si>
  <si>
    <t>Wheat, middlings</t>
  </si>
  <si>
    <t>Wheat, silage, early head</t>
  </si>
  <si>
    <t>Wheat, straw</t>
  </si>
  <si>
    <t>Int'l Feed Number</t>
  </si>
  <si>
    <t>1-00-023</t>
  </si>
  <si>
    <t>4-00-359</t>
  </si>
  <si>
    <t>4-25-450</t>
  </si>
  <si>
    <t>4-00-466</t>
  </si>
  <si>
    <t>4-00-528</t>
  </si>
  <si>
    <t>5-00-545</t>
  </si>
  <si>
    <t>3-00-512</t>
  </si>
  <si>
    <t>4-00-669</t>
  </si>
  <si>
    <t>1-20-900</t>
  </si>
  <si>
    <t>IFN</t>
  </si>
  <si>
    <t>5-12-024</t>
  </si>
  <si>
    <t>5-00-517</t>
  </si>
  <si>
    <t>5-08-109</t>
  </si>
  <si>
    <t>5-03-870</t>
  </si>
  <si>
    <t>4-01-237</t>
  </si>
  <si>
    <t>1-28-234</t>
  </si>
  <si>
    <t>5-28-236</t>
  </si>
  <si>
    <t>5-28-243</t>
  </si>
  <si>
    <t>5-28-242</t>
  </si>
  <si>
    <t>4-02-854</t>
  </si>
  <si>
    <t>4-28-265</t>
  </si>
  <si>
    <t>4-02-849</t>
  </si>
  <si>
    <t>4-26-240</t>
  </si>
  <si>
    <t>4-02-887</t>
  </si>
  <si>
    <t>3-28-247</t>
  </si>
  <si>
    <t>3-28-248</t>
  </si>
  <si>
    <t>3-28-249</t>
  </si>
  <si>
    <t>5-01-614</t>
  </si>
  <si>
    <t>1-01-599</t>
  </si>
  <si>
    <t>5-01-630</t>
  </si>
  <si>
    <t>2-02-260</t>
  </si>
  <si>
    <t>1-02-250</t>
  </si>
  <si>
    <t>1-02-212</t>
  </si>
  <si>
    <t>1-02-243</t>
  </si>
  <si>
    <t>1-02-244</t>
  </si>
  <si>
    <t>3-02-222</t>
  </si>
  <si>
    <t>3-02-217</t>
  </si>
  <si>
    <t>3-02-218</t>
  </si>
  <si>
    <t>3-02-219</t>
  </si>
  <si>
    <t>1-02-275</t>
  </si>
  <si>
    <t>1-02-277</t>
  </si>
  <si>
    <t>1-02-280</t>
  </si>
  <si>
    <t>3-02-302</t>
  </si>
  <si>
    <t>3-02-265</t>
  </si>
  <si>
    <t>3-02-266</t>
  </si>
  <si>
    <t>2-29-431</t>
  </si>
  <si>
    <t>1-20-648</t>
  </si>
  <si>
    <t>1-07-792</t>
  </si>
  <si>
    <t>1-07-788</t>
  </si>
  <si>
    <t>1-07-789</t>
  </si>
  <si>
    <t>3-07-796</t>
  </si>
  <si>
    <t>3-07-795</t>
  </si>
  <si>
    <t>3-07-797</t>
  </si>
  <si>
    <t>3-07-798</t>
  </si>
  <si>
    <t>4-00-668</t>
  </si>
  <si>
    <t>4-04-696</t>
  </si>
  <si>
    <t>4-03-309</t>
  </si>
  <si>
    <t>1-09-099</t>
  </si>
  <si>
    <t>3-21-843</t>
  </si>
  <si>
    <t>5-08-605</t>
  </si>
  <si>
    <t>4-03-775</t>
  </si>
  <si>
    <t>4-03-928</t>
  </si>
  <si>
    <t>3-21-853</t>
  </si>
  <si>
    <t>5-04-110</t>
  </si>
  <si>
    <t>4-04-380</t>
  </si>
  <si>
    <t>3-22-371</t>
  </si>
  <si>
    <t>1-04-480</t>
  </si>
  <si>
    <t>3-04-499</t>
  </si>
  <si>
    <t>1-04-560</t>
  </si>
  <si>
    <t>5-12-820</t>
  </si>
  <si>
    <t>5-20-637</t>
  </si>
  <si>
    <t>5-20-638</t>
  </si>
  <si>
    <t>5-04-610</t>
  </si>
  <si>
    <t>5-04-597</t>
  </si>
  <si>
    <t>3-04-579</t>
  </si>
  <si>
    <t>5-30-032</t>
  </si>
  <si>
    <t>5-08-530</t>
  </si>
  <si>
    <t>5-05-042</t>
  </si>
  <si>
    <t>3-26-208</t>
  </si>
  <si>
    <t>Triticale, silage, headed</t>
  </si>
  <si>
    <t>4-05-190</t>
  </si>
  <si>
    <t>4-13-245</t>
  </si>
  <si>
    <t>1-05-170</t>
  </si>
  <si>
    <t>4-05-205</t>
  </si>
  <si>
    <t>3-21-865</t>
  </si>
  <si>
    <t>1-05-175</t>
  </si>
  <si>
    <t>Select feed name from drop down menu.</t>
  </si>
  <si>
    <t>Digestibility of feed</t>
  </si>
  <si>
    <t>Avg Wt DE%</t>
  </si>
  <si>
    <t>Proportion of Feed</t>
  </si>
  <si>
    <t>GEI term</t>
  </si>
  <si>
    <t>NDF term</t>
  </si>
  <si>
    <t>DEE term</t>
  </si>
  <si>
    <t>BW term</t>
  </si>
  <si>
    <t>Avg Wt NDF</t>
  </si>
  <si>
    <t>Avg Wt DEE</t>
  </si>
  <si>
    <t>Enteric Emissions (CH4 GE Mcal/d)</t>
  </si>
  <si>
    <t>Number of livestock</t>
  </si>
  <si>
    <t>ENTERIC EQUATIONS:</t>
  </si>
  <si>
    <t>Enteric Emissions per category(t CO2e/yr)</t>
  </si>
  <si>
    <t>Total Enteric Emissions across categories (t CO2e yr-1)</t>
  </si>
  <si>
    <t>Net Emissions</t>
  </si>
  <si>
    <r>
      <t xml:space="preserve">INSTRUCTIONS: </t>
    </r>
    <r>
      <rPr>
        <b/>
        <u/>
        <sz val="11"/>
        <color rgb="FFFF0000"/>
        <rFont val="Calibri"/>
        <family val="2"/>
        <scheme val="minor"/>
      </rPr>
      <t>Enter data into LIGHT BLUE CELLS for both baseline and project scenarios. Change values in gray cells only if you have project specific data, otherwise leave existing default values as they appear in the cell.</t>
    </r>
  </si>
  <si>
    <t>(Values below needed for fertilizer tab only, not for manure calculations:)</t>
  </si>
  <si>
    <t>Weighted Avg for feed types, see L109</t>
  </si>
  <si>
    <t>******Special Instructions: PLEASE READ*****</t>
  </si>
  <si>
    <r>
      <t>Estimated GHG Impact after Uncertainty Deduction (and buffer deduction for biotic), t CO</t>
    </r>
    <r>
      <rPr>
        <b/>
        <vertAlign val="subscript"/>
        <sz val="11"/>
        <color theme="1"/>
        <rFont val="Calibri"/>
        <family val="2"/>
        <scheme val="minor"/>
      </rPr>
      <t>2</t>
    </r>
    <r>
      <rPr>
        <b/>
        <sz val="11"/>
        <color theme="1"/>
        <rFont val="Calibri"/>
        <family val="2"/>
        <scheme val="minor"/>
      </rPr>
      <t xml:space="preserve"> yr</t>
    </r>
    <r>
      <rPr>
        <b/>
        <vertAlign val="superscript"/>
        <sz val="11"/>
        <color theme="1"/>
        <rFont val="Calibri"/>
        <family val="2"/>
        <scheme val="minor"/>
      </rPr>
      <t>-1</t>
    </r>
  </si>
  <si>
    <r>
      <t>Estimated GHG Impact (t CO</t>
    </r>
    <r>
      <rPr>
        <b/>
        <vertAlign val="subscript"/>
        <sz val="11"/>
        <color theme="1"/>
        <rFont val="Calibri"/>
        <family val="2"/>
        <scheme val="minor"/>
      </rPr>
      <t>2</t>
    </r>
    <r>
      <rPr>
        <b/>
        <sz val="11"/>
        <color theme="1"/>
        <rFont val="Calibri"/>
        <family val="2"/>
        <scheme val="minor"/>
      </rPr>
      <t xml:space="preserve"> yr</t>
    </r>
    <r>
      <rPr>
        <b/>
        <vertAlign val="superscript"/>
        <sz val="11"/>
        <color theme="1"/>
        <rFont val="Calibri"/>
        <family val="2"/>
        <scheme val="minor"/>
      </rPr>
      <t>-1</t>
    </r>
    <r>
      <rPr>
        <b/>
        <sz val="11"/>
        <color theme="1"/>
        <rFont val="Calibri"/>
        <family val="2"/>
        <scheme val="minor"/>
      </rPr>
      <t>)</t>
    </r>
  </si>
  <si>
    <r>
      <t>Total Annual Milk Production (kg cow-1 yr</t>
    </r>
    <r>
      <rPr>
        <vertAlign val="superscript"/>
        <sz val="11"/>
        <color theme="1"/>
        <rFont val="Calibri"/>
        <family val="2"/>
        <scheme val="minor"/>
      </rPr>
      <t>-1</t>
    </r>
    <r>
      <rPr>
        <sz val="11"/>
        <color theme="1"/>
        <rFont val="Calibri"/>
        <family val="2"/>
        <scheme val="minor"/>
      </rPr>
      <t>)</t>
    </r>
  </si>
  <si>
    <t xml:space="preserve">    Grazing large areas (i.e., rangeland)</t>
  </si>
  <si>
    <t xml:space="preserve">% of total diet </t>
  </si>
  <si>
    <t>Click on category to see description. --&gt;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</si>
</sst>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39" x14ac:knownFonts="1">
    <font>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i/>
      <sz val="12"/>
      <color rgb="FF943634"/>
      <name val="Times New Roman"/>
      <family val="1"/>
    </font>
    <font>
      <b/>
      <sz val="12"/>
      <color rgb="FF00B050"/>
      <name val="Times New Roman"/>
      <family val="1"/>
    </font>
    <font>
      <sz val="12"/>
      <color rgb="FFFF0000"/>
      <name val="Times New Roman"/>
      <family val="1"/>
    </font>
    <font>
      <vertAlign val="subscript"/>
      <sz val="12"/>
      <color theme="1"/>
      <name val="Times New Roman"/>
      <family val="1"/>
    </font>
    <font>
      <sz val="12"/>
      <color rgb="FF00B050"/>
      <name val="Times New Roman"/>
      <family val="1"/>
    </font>
    <font>
      <b/>
      <sz val="9"/>
      <color indexed="8"/>
      <name val="Times New Roman"/>
      <family val="1"/>
    </font>
    <font>
      <sz val="9"/>
      <name val="Times New Roman"/>
      <family val="1"/>
    </font>
    <font>
      <sz val="9"/>
      <color indexed="8"/>
      <name val="Times New Roman"/>
      <family val="1"/>
    </font>
    <font>
      <i/>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11"/>
      <color rgb="FFFF0000"/>
      <name val="Calibri"/>
      <family val="2"/>
      <scheme val="minor"/>
    </font>
    <font>
      <vertAlign val="subscript"/>
      <sz val="11"/>
      <color theme="1"/>
      <name val="Calibri"/>
      <family val="2"/>
      <scheme val="minor"/>
    </font>
    <font>
      <vertAlign val="superscript"/>
      <sz val="11"/>
      <color theme="1"/>
      <name val="Calibri"/>
      <family val="2"/>
      <scheme val="minor"/>
    </font>
    <font>
      <b/>
      <sz val="11"/>
      <name val="Calibri"/>
      <family val="2"/>
      <scheme val="minor"/>
    </font>
    <font>
      <sz val="11"/>
      <color indexed="8"/>
      <name val="Calibri"/>
      <family val="2"/>
      <scheme val="minor"/>
    </font>
    <font>
      <sz val="11"/>
      <name val="Calibri"/>
      <family val="2"/>
      <scheme val="minor"/>
    </font>
    <font>
      <sz val="10"/>
      <color theme="1"/>
      <name val="Arial"/>
      <family val="2"/>
    </font>
    <font>
      <vertAlign val="subscript"/>
      <sz val="10"/>
      <color theme="1"/>
      <name val="Arial"/>
      <family val="2"/>
    </font>
    <font>
      <b/>
      <vertAlign val="superscript"/>
      <sz val="11"/>
      <color theme="1"/>
      <name val="Calibri"/>
      <family val="2"/>
      <scheme val="minor"/>
    </font>
    <font>
      <sz val="11"/>
      <color rgb="FF00B0F0"/>
      <name val="Calibri"/>
      <family val="2"/>
      <scheme val="minor"/>
    </font>
    <font>
      <b/>
      <i/>
      <sz val="11"/>
      <color theme="1"/>
      <name val="Calibri"/>
      <family val="2"/>
      <scheme val="minor"/>
    </font>
    <font>
      <b/>
      <i/>
      <sz val="10"/>
      <color theme="1"/>
      <name val="Arial"/>
      <family val="2"/>
    </font>
    <font>
      <b/>
      <sz val="11"/>
      <color rgb="FF00B050"/>
      <name val="Times New Roman"/>
      <family val="1"/>
    </font>
    <font>
      <vertAlign val="subscript"/>
      <sz val="11"/>
      <name val="Calibri"/>
      <family val="2"/>
      <scheme val="minor"/>
    </font>
    <font>
      <vertAlign val="superscript"/>
      <sz val="11"/>
      <name val="Calibri"/>
      <family val="2"/>
      <scheme val="minor"/>
    </font>
    <font>
      <b/>
      <sz val="11"/>
      <color theme="1"/>
      <name val="Calibri"/>
      <family val="2"/>
    </font>
    <font>
      <sz val="9"/>
      <color indexed="81"/>
      <name val="Tahoma"/>
      <family val="2"/>
    </font>
    <font>
      <b/>
      <sz val="9"/>
      <color indexed="81"/>
      <name val="Tahoma"/>
      <family val="2"/>
    </font>
    <font>
      <b/>
      <u/>
      <sz val="11"/>
      <color rgb="FFFF0000"/>
      <name val="Calibri"/>
      <family val="2"/>
      <scheme val="minor"/>
    </font>
    <font>
      <b/>
      <vertAlign val="subscript"/>
      <sz val="11"/>
      <color theme="1"/>
      <name val="Calibri"/>
      <family val="2"/>
      <scheme val="minor"/>
    </font>
    <font>
      <b/>
      <sz val="12"/>
      <color rgb="FFFF0000"/>
      <name val="Times New Roman"/>
      <family val="1"/>
    </font>
    <font>
      <u/>
      <sz val="11"/>
      <color theme="1"/>
      <name val="Calibri"/>
      <family val="2"/>
      <scheme val="minor"/>
    </font>
    <font>
      <b/>
      <u/>
      <sz val="11"/>
      <color theme="1"/>
      <name val="Calibri"/>
      <family val="2"/>
      <scheme val="minor"/>
    </font>
  </fonts>
  <fills count="1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0" tint="-0.149998474074526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17">
    <xf numFmtId="0" fontId="0" fillId="0" borderId="0" xfId="0"/>
    <xf numFmtId="0" fontId="0" fillId="3" borderId="1" xfId="0" applyFill="1" applyBorder="1"/>
    <xf numFmtId="0" fontId="0" fillId="3" borderId="2" xfId="0" applyFill="1" applyBorder="1"/>
    <xf numFmtId="0" fontId="2" fillId="3" borderId="2" xfId="0" applyFont="1" applyFill="1" applyBorder="1" applyAlignment="1">
      <alignment horizontal="center" vertical="center"/>
    </xf>
    <xf numFmtId="0" fontId="0" fillId="3" borderId="3" xfId="0" applyFill="1" applyBorder="1"/>
    <xf numFmtId="0" fontId="0" fillId="3" borderId="4" xfId="0" applyFill="1" applyBorder="1"/>
    <xf numFmtId="0" fontId="0" fillId="3" borderId="0" xfId="0" applyFill="1" applyBorder="1"/>
    <xf numFmtId="0" fontId="2" fillId="3" borderId="0" xfId="0" applyFont="1" applyFill="1" applyBorder="1" applyAlignment="1">
      <alignment horizontal="center" vertical="center"/>
    </xf>
    <xf numFmtId="0" fontId="0" fillId="3" borderId="5" xfId="0" applyFill="1" applyBorder="1"/>
    <xf numFmtId="0" fontId="0" fillId="3" borderId="6" xfId="0" applyFill="1" applyBorder="1"/>
    <xf numFmtId="0" fontId="0" fillId="3" borderId="7" xfId="0" applyFill="1" applyBorder="1"/>
    <xf numFmtId="0" fontId="4" fillId="3" borderId="7" xfId="0" applyFont="1" applyFill="1" applyBorder="1" applyAlignment="1">
      <alignment horizontal="center" vertical="center"/>
    </xf>
    <xf numFmtId="0" fontId="0" fillId="3" borderId="8" xfId="0" applyFill="1" applyBorder="1"/>
    <xf numFmtId="0" fontId="0" fillId="2" borderId="1" xfId="0" applyFill="1" applyBorder="1"/>
    <xf numFmtId="0" fontId="0" fillId="2" borderId="2" xfId="0" applyFill="1" applyBorder="1"/>
    <xf numFmtId="0" fontId="2" fillId="2" borderId="2" xfId="0" applyFont="1" applyFill="1" applyBorder="1" applyAlignment="1">
      <alignment horizontal="center" vertical="center"/>
    </xf>
    <xf numFmtId="0" fontId="0" fillId="2" borderId="3" xfId="0" applyFill="1" applyBorder="1"/>
    <xf numFmtId="0" fontId="0" fillId="2" borderId="4" xfId="0" applyFill="1" applyBorder="1"/>
    <xf numFmtId="0" fontId="0" fillId="2" borderId="0" xfId="0" applyFill="1" applyBorder="1"/>
    <xf numFmtId="0" fontId="2" fillId="2" borderId="0" xfId="0"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0" fontId="5" fillId="2" borderId="7" xfId="0" applyFont="1" applyFill="1" applyBorder="1" applyAlignment="1">
      <alignment horizontal="center" vertical="center"/>
    </xf>
    <xf numFmtId="0" fontId="0" fillId="2" borderId="8" xfId="0" applyFill="1" applyBorder="1"/>
    <xf numFmtId="0" fontId="2" fillId="5" borderId="1" xfId="0" applyFont="1" applyFill="1" applyBorder="1" applyAlignment="1">
      <alignment vertical="center"/>
    </xf>
    <xf numFmtId="0" fontId="0" fillId="5" borderId="2" xfId="0" applyFill="1" applyBorder="1"/>
    <xf numFmtId="0" fontId="0" fillId="5" borderId="3" xfId="0" applyFill="1" applyBorder="1"/>
    <xf numFmtId="0" fontId="2" fillId="5" borderId="4" xfId="0" applyFont="1" applyFill="1" applyBorder="1" applyAlignment="1">
      <alignment vertical="center"/>
    </xf>
    <xf numFmtId="0" fontId="0" fillId="5" borderId="0" xfId="0" applyFill="1" applyBorder="1"/>
    <xf numFmtId="0" fontId="0" fillId="5" borderId="5" xfId="0" applyFill="1" applyBorder="1"/>
    <xf numFmtId="0" fontId="2" fillId="5" borderId="0" xfId="0" applyFont="1" applyFill="1" applyBorder="1" applyAlignment="1">
      <alignment vertical="center"/>
    </xf>
    <xf numFmtId="0" fontId="2" fillId="5" borderId="0" xfId="0" applyFont="1" applyFill="1" applyBorder="1" applyAlignment="1">
      <alignment horizontal="left" vertical="center" indent="5"/>
    </xf>
    <xf numFmtId="0" fontId="2" fillId="5" borderId="6" xfId="0" applyFont="1" applyFill="1" applyBorder="1" applyAlignment="1">
      <alignment vertical="center"/>
    </xf>
    <xf numFmtId="0" fontId="0" fillId="5" borderId="7" xfId="0" applyFill="1" applyBorder="1"/>
    <xf numFmtId="0" fontId="2" fillId="5" borderId="7" xfId="0" applyFont="1" applyFill="1" applyBorder="1" applyAlignment="1">
      <alignment vertical="center"/>
    </xf>
    <xf numFmtId="0" fontId="0" fillId="5" borderId="8" xfId="0" applyFill="1" applyBorder="1"/>
    <xf numFmtId="0" fontId="2" fillId="4" borderId="1" xfId="0" applyFont="1" applyFill="1" applyBorder="1" applyAlignment="1">
      <alignment vertical="center"/>
    </xf>
    <xf numFmtId="0" fontId="0" fillId="4" borderId="2" xfId="0" applyFill="1" applyBorder="1"/>
    <xf numFmtId="0" fontId="0" fillId="4" borderId="3" xfId="0" applyFill="1" applyBorder="1"/>
    <xf numFmtId="0" fontId="0" fillId="4" borderId="0" xfId="0" applyFill="1" applyBorder="1"/>
    <xf numFmtId="0" fontId="2" fillId="4" borderId="0" xfId="0" applyFont="1" applyFill="1" applyBorder="1" applyAlignment="1">
      <alignment vertical="center"/>
    </xf>
    <xf numFmtId="0" fontId="0" fillId="4" borderId="5" xfId="0" applyFill="1" applyBorder="1"/>
    <xf numFmtId="0" fontId="0" fillId="4" borderId="4" xfId="0" applyFill="1" applyBorder="1"/>
    <xf numFmtId="0" fontId="0" fillId="4" borderId="6" xfId="0" applyFill="1" applyBorder="1"/>
    <xf numFmtId="0" fontId="0" fillId="4" borderId="7" xfId="0" applyFill="1" applyBorder="1"/>
    <xf numFmtId="0" fontId="0" fillId="4" borderId="8" xfId="0" applyFill="1" applyBorder="1"/>
    <xf numFmtId="0" fontId="2" fillId="6" borderId="0" xfId="0" applyFont="1" applyFill="1" applyAlignment="1">
      <alignment vertical="center"/>
    </xf>
    <xf numFmtId="0" fontId="0" fillId="6" borderId="0" xfId="0" applyFill="1"/>
    <xf numFmtId="0" fontId="1" fillId="6" borderId="0" xfId="0" applyFont="1" applyFill="1" applyAlignment="1">
      <alignment vertical="center"/>
    </xf>
    <xf numFmtId="0" fontId="2" fillId="7" borderId="0" xfId="0" applyFont="1" applyFill="1" applyAlignment="1">
      <alignment vertical="center"/>
    </xf>
    <xf numFmtId="0" fontId="0" fillId="7" borderId="0" xfId="0" applyFill="1"/>
    <xf numFmtId="0" fontId="1" fillId="7" borderId="0" xfId="0" applyFont="1" applyFill="1" applyAlignment="1">
      <alignment vertical="center"/>
    </xf>
    <xf numFmtId="0" fontId="2" fillId="8" borderId="0" xfId="0" applyFont="1" applyFill="1" applyAlignment="1">
      <alignment vertical="center"/>
    </xf>
    <xf numFmtId="0" fontId="0" fillId="8" borderId="0" xfId="0" applyFill="1"/>
    <xf numFmtId="0" fontId="3" fillId="8" borderId="0" xfId="0" applyFont="1" applyFill="1" applyAlignment="1">
      <alignment horizontal="center" vertical="center"/>
    </xf>
    <xf numFmtId="0" fontId="5" fillId="8" borderId="0" xfId="0" applyFont="1" applyFill="1" applyBorder="1" applyAlignment="1">
      <alignment horizontal="left" vertical="center"/>
    </xf>
    <xf numFmtId="0" fontId="0" fillId="0" borderId="0" xfId="0" applyBorder="1"/>
    <xf numFmtId="0" fontId="10" fillId="0" borderId="0" xfId="0" applyFont="1" applyBorder="1" applyAlignment="1">
      <alignment horizontal="center"/>
    </xf>
    <xf numFmtId="164" fontId="11" fillId="0" borderId="0" xfId="0" applyNumberFormat="1" applyFont="1" applyBorder="1" applyAlignment="1">
      <alignment horizontal="center" wrapText="1"/>
    </xf>
    <xf numFmtId="0" fontId="10" fillId="0" borderId="0" xfId="0" applyFont="1" applyFill="1" applyBorder="1" applyAlignment="1">
      <alignment horizontal="center"/>
    </xf>
    <xf numFmtId="2" fontId="10" fillId="0" borderId="0" xfId="0" applyNumberFormat="1" applyFont="1" applyBorder="1" applyAlignment="1">
      <alignment horizontal="center"/>
    </xf>
    <xf numFmtId="2" fontId="10" fillId="0" borderId="0" xfId="0" applyNumberFormat="1" applyFont="1" applyFill="1" applyBorder="1" applyAlignment="1">
      <alignment horizontal="center"/>
    </xf>
    <xf numFmtId="0" fontId="9" fillId="0" borderId="0" xfId="0" applyFont="1" applyBorder="1" applyAlignment="1">
      <alignment horizontal="center" wrapText="1"/>
    </xf>
    <xf numFmtId="0" fontId="0" fillId="0" borderId="0" xfId="0" applyFill="1" applyBorder="1"/>
    <xf numFmtId="0" fontId="14" fillId="0" borderId="0" xfId="0" applyFont="1"/>
    <xf numFmtId="0" fontId="16" fillId="0" borderId="0" xfId="0" applyFont="1"/>
    <xf numFmtId="0" fontId="12" fillId="0" borderId="0" xfId="0" applyFont="1"/>
    <xf numFmtId="2" fontId="20" fillId="0" borderId="0" xfId="0" applyNumberFormat="1" applyFont="1" applyBorder="1" applyAlignment="1">
      <alignment horizontal="right" wrapText="1"/>
    </xf>
    <xf numFmtId="0" fontId="20" fillId="0" borderId="0" xfId="0" applyFont="1" applyBorder="1" applyAlignment="1">
      <alignment horizontal="right" wrapText="1"/>
    </xf>
    <xf numFmtId="0" fontId="14" fillId="0" borderId="0" xfId="0" applyFont="1" applyAlignment="1">
      <alignment wrapText="1"/>
    </xf>
    <xf numFmtId="0" fontId="21" fillId="0" borderId="0" xfId="0" applyFont="1" applyBorder="1" applyAlignment="1">
      <alignment horizontal="right"/>
    </xf>
    <xf numFmtId="0" fontId="0" fillId="0" borderId="0" xfId="0" applyFont="1" applyAlignment="1">
      <alignment horizontal="right"/>
    </xf>
    <xf numFmtId="2" fontId="21" fillId="0" borderId="0" xfId="0" applyNumberFormat="1" applyFont="1" applyBorder="1" applyAlignment="1">
      <alignment horizontal="right"/>
    </xf>
    <xf numFmtId="0" fontId="21" fillId="0" borderId="0" xfId="0" applyFont="1" applyFill="1" applyBorder="1" applyAlignment="1">
      <alignment horizontal="right"/>
    </xf>
    <xf numFmtId="0" fontId="14" fillId="9" borderId="13" xfId="0" applyFont="1" applyFill="1" applyBorder="1"/>
    <xf numFmtId="0" fontId="14" fillId="9" borderId="9" xfId="0" applyFont="1" applyFill="1" applyBorder="1"/>
    <xf numFmtId="0" fontId="0" fillId="9" borderId="14" xfId="0" applyFill="1" applyBorder="1"/>
    <xf numFmtId="0" fontId="0" fillId="9" borderId="9" xfId="0" applyFill="1" applyBorder="1"/>
    <xf numFmtId="0" fontId="0" fillId="9" borderId="11" xfId="0" applyFill="1" applyBorder="1"/>
    <xf numFmtId="0" fontId="0" fillId="9" borderId="10" xfId="0" applyFill="1" applyBorder="1"/>
    <xf numFmtId="0" fontId="14" fillId="7" borderId="14" xfId="0" applyFont="1" applyFill="1" applyBorder="1"/>
    <xf numFmtId="0" fontId="0" fillId="9" borderId="15" xfId="0" applyFill="1" applyBorder="1"/>
    <xf numFmtId="0" fontId="0" fillId="9" borderId="13" xfId="0" applyFont="1" applyFill="1" applyBorder="1"/>
    <xf numFmtId="0" fontId="0" fillId="9" borderId="15" xfId="0" applyFont="1" applyFill="1" applyBorder="1"/>
    <xf numFmtId="0" fontId="0" fillId="9" borderId="16" xfId="0" applyFont="1" applyFill="1" applyBorder="1"/>
    <xf numFmtId="0" fontId="0" fillId="9" borderId="17" xfId="0" applyFont="1" applyFill="1" applyBorder="1"/>
    <xf numFmtId="0" fontId="13" fillId="0" borderId="0" xfId="0" applyFont="1"/>
    <xf numFmtId="0" fontId="2" fillId="8" borderId="0" xfId="0" applyFont="1" applyFill="1" applyBorder="1" applyAlignment="1">
      <alignment vertical="center"/>
    </xf>
    <xf numFmtId="3" fontId="14" fillId="7" borderId="0" xfId="0" applyNumberFormat="1" applyFont="1" applyFill="1"/>
    <xf numFmtId="3" fontId="0" fillId="0" borderId="0" xfId="0" applyNumberFormat="1"/>
    <xf numFmtId="1" fontId="0" fillId="0" borderId="0" xfId="0" applyNumberFormat="1"/>
    <xf numFmtId="0" fontId="14" fillId="7" borderId="0" xfId="0" applyFont="1" applyFill="1"/>
    <xf numFmtId="0" fontId="22" fillId="8" borderId="0" xfId="0" applyFont="1" applyFill="1" applyBorder="1" applyAlignment="1">
      <alignment vertical="center"/>
    </xf>
    <xf numFmtId="0" fontId="0" fillId="0" borderId="0" xfId="0"/>
    <xf numFmtId="0" fontId="14" fillId="0" borderId="0" xfId="0" applyFont="1"/>
    <xf numFmtId="0" fontId="16" fillId="0" borderId="0" xfId="0" applyFont="1"/>
    <xf numFmtId="0" fontId="5" fillId="0" borderId="0" xfId="0" applyFont="1"/>
    <xf numFmtId="0" fontId="0" fillId="0" borderId="0" xfId="0"/>
    <xf numFmtId="0" fontId="14" fillId="0" borderId="0" xfId="0" applyFont="1"/>
    <xf numFmtId="0" fontId="14" fillId="0" borderId="0" xfId="0" applyFont="1"/>
    <xf numFmtId="0" fontId="14" fillId="5" borderId="0" xfId="0" applyFont="1" applyFill="1"/>
    <xf numFmtId="0" fontId="0" fillId="5" borderId="0" xfId="0" applyFill="1"/>
    <xf numFmtId="3" fontId="14" fillId="0" borderId="0" xfId="0" applyNumberFormat="1" applyFont="1"/>
    <xf numFmtId="3" fontId="0" fillId="5" borderId="0" xfId="0" applyNumberFormat="1" applyFill="1"/>
    <xf numFmtId="3" fontId="14" fillId="5" borderId="0" xfId="0" applyNumberFormat="1" applyFont="1" applyFill="1"/>
    <xf numFmtId="0" fontId="25" fillId="0" borderId="0" xfId="0" applyFont="1"/>
    <xf numFmtId="0" fontId="0" fillId="0" borderId="0" xfId="0" applyFill="1"/>
    <xf numFmtId="0" fontId="14" fillId="0" borderId="12" xfId="0" applyFont="1" applyBorder="1" applyAlignment="1">
      <alignment wrapText="1"/>
    </xf>
    <xf numFmtId="3" fontId="0" fillId="0" borderId="0" xfId="0" applyNumberFormat="1" applyFill="1"/>
    <xf numFmtId="0" fontId="14" fillId="0" borderId="18" xfId="0" applyFont="1" applyBorder="1" applyAlignment="1"/>
    <xf numFmtId="0" fontId="0" fillId="0" borderId="0" xfId="0" applyAlignment="1">
      <alignment wrapText="1"/>
    </xf>
    <xf numFmtId="0" fontId="14" fillId="0" borderId="12" xfId="0" applyFont="1" applyFill="1" applyBorder="1" applyAlignment="1">
      <alignment wrapText="1"/>
    </xf>
    <xf numFmtId="0" fontId="0" fillId="0" borderId="0" xfId="0" applyAlignment="1"/>
    <xf numFmtId="0" fontId="0" fillId="0" borderId="0" xfId="0" applyFont="1" applyBorder="1" applyAlignment="1">
      <alignment horizontal="center" wrapText="1"/>
    </xf>
    <xf numFmtId="0" fontId="0" fillId="0" borderId="0" xfId="0" applyFont="1" applyBorder="1" applyAlignment="1">
      <alignment horizontal="center"/>
    </xf>
    <xf numFmtId="2" fontId="0" fillId="0" borderId="0" xfId="0" applyNumberFormat="1"/>
    <xf numFmtId="164" fontId="0" fillId="0" borderId="0" xfId="0" applyNumberFormat="1"/>
    <xf numFmtId="0" fontId="0" fillId="7" borderId="0" xfId="0" applyFill="1" applyBorder="1"/>
    <xf numFmtId="0" fontId="14" fillId="0" borderId="12" xfId="0" applyFont="1" applyBorder="1" applyAlignment="1"/>
    <xf numFmtId="0" fontId="14" fillId="7" borderId="12" xfId="0" applyFont="1" applyFill="1" applyBorder="1"/>
    <xf numFmtId="0" fontId="0" fillId="7" borderId="0" xfId="0" applyFont="1" applyFill="1" applyBorder="1" applyAlignment="1">
      <alignment horizontal="center" wrapText="1"/>
    </xf>
    <xf numFmtId="0" fontId="0" fillId="3" borderId="12" xfId="0" applyFill="1" applyBorder="1"/>
    <xf numFmtId="0" fontId="0" fillId="3" borderId="0" xfId="0" applyFill="1"/>
    <xf numFmtId="3" fontId="0" fillId="9" borderId="12" xfId="0" applyNumberFormat="1" applyFill="1" applyBorder="1"/>
    <xf numFmtId="165" fontId="0" fillId="0" borderId="0" xfId="0" applyNumberFormat="1"/>
    <xf numFmtId="0" fontId="0" fillId="0" borderId="0" xfId="0" applyFont="1"/>
    <xf numFmtId="0" fontId="15" fillId="0" borderId="0" xfId="0" applyFont="1"/>
    <xf numFmtId="0" fontId="0" fillId="0" borderId="0" xfId="0" applyAlignment="1">
      <alignment horizontal="left"/>
    </xf>
    <xf numFmtId="0" fontId="14" fillId="0" borderId="0" xfId="0" applyFont="1" applyFill="1" applyBorder="1"/>
    <xf numFmtId="4" fontId="0" fillId="0" borderId="0" xfId="0" applyNumberFormat="1" applyFont="1"/>
    <xf numFmtId="3" fontId="0" fillId="0" borderId="0" xfId="0" applyNumberFormat="1" applyFont="1"/>
    <xf numFmtId="165" fontId="0" fillId="0" borderId="0" xfId="0" applyNumberFormat="1" applyFill="1" applyBorder="1"/>
    <xf numFmtId="3" fontId="0" fillId="0" borderId="0" xfId="0" applyNumberFormat="1" applyFill="1" applyBorder="1"/>
    <xf numFmtId="0" fontId="14" fillId="0" borderId="0" xfId="0" applyFont="1" applyFill="1" applyBorder="1" applyAlignment="1"/>
    <xf numFmtId="0" fontId="14" fillId="0" borderId="0" xfId="0" applyFont="1" applyFill="1" applyBorder="1" applyAlignment="1">
      <alignment wrapText="1"/>
    </xf>
    <xf numFmtId="0" fontId="14" fillId="0" borderId="0" xfId="0" applyFont="1" applyFill="1"/>
    <xf numFmtId="3" fontId="14" fillId="0" borderId="0" xfId="0" applyNumberFormat="1" applyFont="1" applyFill="1"/>
    <xf numFmtId="0" fontId="0" fillId="0" borderId="0" xfId="0" applyFont="1" applyFill="1"/>
    <xf numFmtId="0" fontId="12" fillId="0" borderId="0" xfId="0" applyFont="1" applyFill="1" applyBorder="1"/>
    <xf numFmtId="0" fontId="14" fillId="0" borderId="12" xfId="0" applyFont="1" applyBorder="1"/>
    <xf numFmtId="0" fontId="0" fillId="0" borderId="12" xfId="0" applyBorder="1"/>
    <xf numFmtId="0" fontId="0" fillId="0" borderId="26" xfId="0" applyBorder="1"/>
    <xf numFmtId="0" fontId="0" fillId="0" borderId="9" xfId="0" applyBorder="1"/>
    <xf numFmtId="0" fontId="26" fillId="0" borderId="0" xfId="0" applyFont="1"/>
    <xf numFmtId="0" fontId="26" fillId="0" borderId="0" xfId="0" applyFont="1" applyFill="1"/>
    <xf numFmtId="0" fontId="27" fillId="8" borderId="0" xfId="0" applyFont="1" applyFill="1" applyBorder="1" applyAlignment="1">
      <alignment vertical="center"/>
    </xf>
    <xf numFmtId="0" fontId="14" fillId="0" borderId="25" xfId="0" applyFont="1" applyBorder="1" applyAlignment="1">
      <alignment wrapText="1"/>
    </xf>
    <xf numFmtId="0" fontId="0" fillId="0" borderId="0" xfId="0" applyFont="1" applyFill="1" applyBorder="1"/>
    <xf numFmtId="0" fontId="12" fillId="0" borderId="0" xfId="0" applyFont="1" applyAlignment="1">
      <alignment horizontal="center"/>
    </xf>
    <xf numFmtId="166" fontId="0" fillId="0" borderId="0" xfId="0" applyNumberFormat="1"/>
    <xf numFmtId="167" fontId="0" fillId="0" borderId="0" xfId="0" applyNumberFormat="1"/>
    <xf numFmtId="0" fontId="12" fillId="0" borderId="36" xfId="0" applyFont="1" applyBorder="1"/>
    <xf numFmtId="0" fontId="12" fillId="0" borderId="37" xfId="0" applyFont="1" applyBorder="1"/>
    <xf numFmtId="3" fontId="0" fillId="0" borderId="37" xfId="0" applyNumberFormat="1" applyBorder="1"/>
    <xf numFmtId="3" fontId="0" fillId="0" borderId="10" xfId="0" applyNumberFormat="1" applyBorder="1"/>
    <xf numFmtId="0" fontId="0" fillId="0" borderId="36" xfId="0" applyBorder="1"/>
    <xf numFmtId="0" fontId="0" fillId="0" borderId="10" xfId="0" applyBorder="1"/>
    <xf numFmtId="0" fontId="14" fillId="0" borderId="26" xfId="0" applyFont="1" applyBorder="1" applyAlignment="1">
      <alignment wrapText="1"/>
    </xf>
    <xf numFmtId="0" fontId="14" fillId="0" borderId="0" xfId="0" applyFont="1" applyBorder="1" applyAlignment="1">
      <alignment wrapText="1"/>
    </xf>
    <xf numFmtId="0" fontId="14" fillId="0" borderId="9" xfId="0" applyFont="1" applyBorder="1" applyAlignment="1">
      <alignment wrapText="1"/>
    </xf>
    <xf numFmtId="3" fontId="14" fillId="14" borderId="13" xfId="0" applyNumberFormat="1" applyFont="1" applyFill="1" applyBorder="1"/>
    <xf numFmtId="3" fontId="14" fillId="14" borderId="12" xfId="0" applyNumberFormat="1" applyFont="1" applyFill="1" applyBorder="1"/>
    <xf numFmtId="0" fontId="14" fillId="0" borderId="24" xfId="0" applyFont="1" applyBorder="1" applyAlignment="1">
      <alignment wrapText="1"/>
    </xf>
    <xf numFmtId="0" fontId="14" fillId="3" borderId="0" xfId="0" applyFont="1" applyFill="1"/>
    <xf numFmtId="0" fontId="2" fillId="15" borderId="4" xfId="0" applyFont="1" applyFill="1" applyBorder="1" applyAlignment="1">
      <alignment vertical="center"/>
    </xf>
    <xf numFmtId="0" fontId="13" fillId="15" borderId="0" xfId="0" applyFont="1" applyFill="1" applyAlignment="1">
      <alignment horizontal="left"/>
    </xf>
    <xf numFmtId="0" fontId="0" fillId="15" borderId="0" xfId="0" applyFill="1"/>
    <xf numFmtId="0" fontId="2" fillId="15" borderId="0" xfId="0" applyFont="1" applyFill="1" applyBorder="1" applyAlignment="1">
      <alignment vertical="center" wrapText="1"/>
    </xf>
    <xf numFmtId="3" fontId="14" fillId="14" borderId="13" xfId="0" applyNumberFormat="1" applyFont="1" applyFill="1" applyBorder="1" applyAlignment="1">
      <alignment horizontal="left"/>
    </xf>
    <xf numFmtId="0" fontId="16" fillId="0" borderId="0" xfId="0" applyFont="1" applyFill="1" applyAlignment="1"/>
    <xf numFmtId="0" fontId="13" fillId="15" borderId="0" xfId="0" applyFont="1" applyFill="1"/>
    <xf numFmtId="3" fontId="14" fillId="0" borderId="0" xfId="0" applyNumberFormat="1" applyFont="1" applyFill="1" applyBorder="1"/>
    <xf numFmtId="0" fontId="0" fillId="15" borderId="0" xfId="0" applyFill="1" applyBorder="1"/>
    <xf numFmtId="0" fontId="16" fillId="0" borderId="0" xfId="0" applyFont="1" applyFill="1" applyBorder="1"/>
    <xf numFmtId="0" fontId="21" fillId="15" borderId="0" xfId="0" applyFont="1" applyFill="1"/>
    <xf numFmtId="3" fontId="19" fillId="14" borderId="13" xfId="0" applyNumberFormat="1" applyFont="1" applyFill="1" applyBorder="1"/>
    <xf numFmtId="0" fontId="2" fillId="15" borderId="0" xfId="0" applyFont="1" applyFill="1" applyBorder="1" applyAlignment="1">
      <alignment vertical="center"/>
    </xf>
    <xf numFmtId="0" fontId="13" fillId="15" borderId="0" xfId="0" applyFont="1" applyFill="1" applyBorder="1"/>
    <xf numFmtId="0" fontId="28" fillId="0" borderId="0" xfId="0" applyFont="1"/>
    <xf numFmtId="0" fontId="0" fillId="4" borderId="4" xfId="0" applyFont="1" applyFill="1" applyBorder="1"/>
    <xf numFmtId="0" fontId="0" fillId="4" borderId="4" xfId="0" applyFont="1" applyFill="1" applyBorder="1" applyAlignment="1">
      <alignment vertical="center"/>
    </xf>
    <xf numFmtId="0" fontId="14" fillId="10" borderId="12" xfId="0" applyFont="1" applyFill="1" applyBorder="1" applyProtection="1">
      <protection locked="0"/>
    </xf>
    <xf numFmtId="0" fontId="0" fillId="10" borderId="12" xfId="0" applyFill="1" applyBorder="1" applyProtection="1">
      <protection locked="0"/>
    </xf>
    <xf numFmtId="3" fontId="0" fillId="10" borderId="12" xfId="0" applyNumberFormat="1" applyFill="1" applyBorder="1" applyProtection="1">
      <protection locked="0"/>
    </xf>
    <xf numFmtId="3" fontId="0" fillId="10" borderId="18" xfId="0" applyNumberFormat="1" applyFill="1" applyBorder="1" applyProtection="1">
      <protection locked="0"/>
    </xf>
    <xf numFmtId="165" fontId="0" fillId="10" borderId="12" xfId="0" applyNumberFormat="1" applyFill="1" applyBorder="1" applyProtection="1">
      <protection locked="0"/>
    </xf>
    <xf numFmtId="0" fontId="0" fillId="10" borderId="12" xfId="0" applyFill="1" applyBorder="1" applyAlignment="1" applyProtection="1">
      <alignment horizontal="right"/>
      <protection locked="0"/>
    </xf>
    <xf numFmtId="3" fontId="0" fillId="10" borderId="25" xfId="0" applyNumberFormat="1" applyFont="1" applyFill="1" applyBorder="1" applyProtection="1">
      <protection locked="0"/>
    </xf>
    <xf numFmtId="3" fontId="0" fillId="10" borderId="28" xfId="0" applyNumberFormat="1" applyFont="1" applyFill="1" applyBorder="1" applyProtection="1">
      <protection locked="0"/>
    </xf>
    <xf numFmtId="3" fontId="0" fillId="10" borderId="30" xfId="0" applyNumberFormat="1" applyFont="1" applyFill="1" applyBorder="1" applyProtection="1">
      <protection locked="0"/>
    </xf>
    <xf numFmtId="3" fontId="0" fillId="10" borderId="30" xfId="0" applyNumberFormat="1" applyFill="1" applyBorder="1" applyProtection="1">
      <protection locked="0"/>
    </xf>
    <xf numFmtId="3" fontId="0" fillId="10" borderId="24" xfId="0" applyNumberFormat="1" applyFont="1" applyFill="1" applyBorder="1" applyProtection="1">
      <protection locked="0"/>
    </xf>
    <xf numFmtId="3" fontId="0" fillId="10" borderId="12" xfId="0" applyNumberFormat="1" applyFont="1" applyFill="1" applyBorder="1" applyProtection="1">
      <protection locked="0"/>
    </xf>
    <xf numFmtId="3" fontId="0" fillId="10" borderId="27" xfId="0" applyNumberFormat="1" applyFont="1" applyFill="1" applyBorder="1" applyProtection="1">
      <protection locked="0"/>
    </xf>
    <xf numFmtId="3" fontId="0" fillId="10" borderId="38" xfId="0" applyNumberFormat="1" applyFont="1" applyFill="1" applyBorder="1" applyProtection="1">
      <protection locked="0"/>
    </xf>
    <xf numFmtId="0" fontId="0" fillId="15" borderId="0" xfId="0" applyFont="1" applyFill="1"/>
    <xf numFmtId="0" fontId="14" fillId="17" borderId="0" xfId="0" applyFont="1" applyFill="1"/>
    <xf numFmtId="0" fontId="0" fillId="17" borderId="0" xfId="0" applyFill="1"/>
    <xf numFmtId="0" fontId="0" fillId="17" borderId="0" xfId="0" applyFill="1" applyAlignment="1"/>
    <xf numFmtId="2" fontId="0" fillId="7" borderId="12" xfId="0" applyNumberFormat="1" applyFill="1" applyBorder="1" applyProtection="1">
      <protection locked="0" hidden="1"/>
    </xf>
    <xf numFmtId="0" fontId="0" fillId="16" borderId="12" xfId="0" applyFill="1" applyBorder="1" applyProtection="1">
      <protection locked="0"/>
    </xf>
    <xf numFmtId="3" fontId="0" fillId="17" borderId="12" xfId="0" applyNumberFormat="1" applyFill="1" applyBorder="1" applyProtection="1">
      <protection locked="0" hidden="1"/>
    </xf>
    <xf numFmtId="165" fontId="0" fillId="17" borderId="12" xfId="0" applyNumberFormat="1" applyFill="1" applyBorder="1" applyProtection="1">
      <protection locked="0" hidden="1"/>
    </xf>
    <xf numFmtId="0" fontId="0" fillId="17" borderId="12" xfId="0" applyFill="1" applyBorder="1" applyProtection="1">
      <protection locked="0" hidden="1"/>
    </xf>
    <xf numFmtId="0" fontId="14" fillId="14" borderId="0" xfId="0" applyFont="1" applyFill="1"/>
    <xf numFmtId="0" fontId="21" fillId="0" borderId="0" xfId="0" applyFont="1"/>
    <xf numFmtId="0" fontId="21" fillId="10" borderId="12" xfId="0" applyFont="1" applyFill="1" applyBorder="1" applyProtection="1">
      <protection locked="0"/>
    </xf>
    <xf numFmtId="0" fontId="20" fillId="0" borderId="0" xfId="0" applyFont="1" applyBorder="1" applyAlignment="1"/>
    <xf numFmtId="0" fontId="20" fillId="0" borderId="0" xfId="0" applyFont="1" applyBorder="1" applyAlignment="1">
      <alignment horizontal="left"/>
    </xf>
    <xf numFmtId="0" fontId="0" fillId="0" borderId="0" xfId="0" applyFont="1" applyBorder="1"/>
    <xf numFmtId="0" fontId="20" fillId="0" borderId="0" xfId="0" applyFont="1" applyBorder="1" applyAlignment="1">
      <alignment horizontal="left" wrapText="1"/>
    </xf>
    <xf numFmtId="0" fontId="20" fillId="0" borderId="0" xfId="0" applyFont="1" applyFill="1" applyBorder="1" applyAlignment="1">
      <alignment horizontal="left" wrapText="1"/>
    </xf>
    <xf numFmtId="2" fontId="20" fillId="0" borderId="0" xfId="0" applyNumberFormat="1" applyFont="1" applyBorder="1" applyAlignment="1">
      <alignment horizontal="left" wrapText="1"/>
    </xf>
    <xf numFmtId="2" fontId="20" fillId="0" borderId="0" xfId="0" applyNumberFormat="1" applyFont="1" applyFill="1" applyBorder="1" applyAlignment="1">
      <alignment horizontal="left" wrapText="1"/>
    </xf>
    <xf numFmtId="164" fontId="21" fillId="0" borderId="0" xfId="0" applyNumberFormat="1" applyFont="1" applyBorder="1" applyAlignment="1"/>
    <xf numFmtId="0" fontId="0" fillId="0" borderId="0" xfId="0" applyFont="1" applyFill="1" applyBorder="1" applyAlignment="1"/>
    <xf numFmtId="0" fontId="0" fillId="0" borderId="0" xfId="0" applyBorder="1" applyAlignment="1"/>
    <xf numFmtId="164" fontId="10" fillId="0" borderId="0" xfId="0" applyNumberFormat="1" applyFont="1" applyBorder="1" applyAlignment="1"/>
    <xf numFmtId="164" fontId="10" fillId="0" borderId="0" xfId="0" applyNumberFormat="1" applyFont="1" applyFill="1" applyBorder="1" applyAlignment="1"/>
    <xf numFmtId="3" fontId="14" fillId="0" borderId="14" xfId="0" applyNumberFormat="1" applyFont="1" applyBorder="1"/>
    <xf numFmtId="0" fontId="14" fillId="0" borderId="34" xfId="0" applyFont="1" applyBorder="1"/>
    <xf numFmtId="0" fontId="14" fillId="0" borderId="33" xfId="0" applyFont="1" applyBorder="1"/>
    <xf numFmtId="0" fontId="14" fillId="10" borderId="34" xfId="0" applyFont="1" applyFill="1" applyBorder="1"/>
    <xf numFmtId="3" fontId="14" fillId="10" borderId="14" xfId="0" applyNumberFormat="1" applyFont="1" applyFill="1" applyBorder="1"/>
    <xf numFmtId="0" fontId="2" fillId="10" borderId="0" xfId="0" applyFont="1" applyFill="1"/>
    <xf numFmtId="0" fontId="1" fillId="10" borderId="0" xfId="0" applyFont="1" applyFill="1"/>
    <xf numFmtId="0" fontId="0" fillId="10" borderId="0" xfId="0" applyFill="1"/>
    <xf numFmtId="0" fontId="0" fillId="10" borderId="12" xfId="0" applyFont="1" applyFill="1" applyBorder="1" applyProtection="1">
      <protection locked="0"/>
    </xf>
    <xf numFmtId="0" fontId="0" fillId="0" borderId="0" xfId="0" applyFill="1" applyBorder="1" applyProtection="1">
      <protection locked="0"/>
    </xf>
    <xf numFmtId="0" fontId="8" fillId="8" borderId="0" xfId="0" applyFont="1" applyFill="1" applyBorder="1" applyAlignment="1">
      <alignment horizontal="left" vertical="center"/>
    </xf>
    <xf numFmtId="0" fontId="14" fillId="17" borderId="21" xfId="0" applyFont="1" applyFill="1" applyBorder="1"/>
    <xf numFmtId="0" fontId="0" fillId="0" borderId="7" xfId="0" applyBorder="1"/>
    <xf numFmtId="0" fontId="36" fillId="10" borderId="0" xfId="0" applyFont="1" applyFill="1"/>
    <xf numFmtId="0" fontId="6" fillId="10" borderId="0" xfId="0" applyFont="1" applyFill="1"/>
    <xf numFmtId="165" fontId="0" fillId="0" borderId="0" xfId="0" applyNumberFormat="1" applyFill="1" applyBorder="1" applyProtection="1">
      <protection locked="0"/>
    </xf>
    <xf numFmtId="3" fontId="0" fillId="10" borderId="12" xfId="0" applyNumberFormat="1" applyFill="1" applyBorder="1"/>
    <xf numFmtId="165" fontId="14" fillId="0" borderId="0" xfId="0" applyNumberFormat="1" applyFont="1" applyFill="1" applyBorder="1" applyProtection="1">
      <protection locked="0"/>
    </xf>
    <xf numFmtId="0" fontId="0" fillId="0" borderId="0" xfId="0" applyFill="1" applyAlignment="1"/>
    <xf numFmtId="1" fontId="14" fillId="0" borderId="0" xfId="0" applyNumberFormat="1" applyFont="1"/>
    <xf numFmtId="164" fontId="0" fillId="0" borderId="0" xfId="0" applyNumberFormat="1" applyFill="1"/>
    <xf numFmtId="2" fontId="0" fillId="0" borderId="0" xfId="0" applyNumberFormat="1" applyFill="1"/>
    <xf numFmtId="3" fontId="0" fillId="0" borderId="0" xfId="0" applyNumberFormat="1" applyFill="1" applyBorder="1" applyProtection="1"/>
    <xf numFmtId="3" fontId="0" fillId="0" borderId="0" xfId="0" applyNumberFormat="1" applyFill="1" applyBorder="1" applyProtection="1">
      <protection hidden="1"/>
    </xf>
    <xf numFmtId="3" fontId="14" fillId="15" borderId="25" xfId="0" applyNumberFormat="1" applyFont="1" applyFill="1" applyBorder="1" applyAlignment="1" applyProtection="1">
      <alignment horizontal="right"/>
      <protection locked="0" hidden="1"/>
    </xf>
    <xf numFmtId="3" fontId="14" fillId="15" borderId="28" xfId="0" applyNumberFormat="1" applyFont="1" applyFill="1" applyBorder="1" applyAlignment="1" applyProtection="1">
      <alignment horizontal="right"/>
      <protection locked="0" hidden="1"/>
    </xf>
    <xf numFmtId="3" fontId="0" fillId="15" borderId="12" xfId="0" applyNumberFormat="1" applyFill="1" applyBorder="1" applyAlignment="1" applyProtection="1">
      <alignment horizontal="right"/>
      <protection locked="0" hidden="1"/>
    </xf>
    <xf numFmtId="3" fontId="0" fillId="15" borderId="38" xfId="0" applyNumberFormat="1" applyFill="1" applyBorder="1" applyAlignment="1" applyProtection="1">
      <alignment horizontal="right"/>
      <protection locked="0" hidden="1"/>
    </xf>
    <xf numFmtId="3" fontId="14" fillId="0" borderId="0" xfId="0" applyNumberFormat="1" applyFont="1" applyFill="1" applyProtection="1">
      <protection locked="0" hidden="1"/>
    </xf>
    <xf numFmtId="0" fontId="0" fillId="13" borderId="40" xfId="0" applyFill="1" applyBorder="1" applyProtection="1">
      <protection locked="0"/>
    </xf>
    <xf numFmtId="0" fontId="14" fillId="13" borderId="40" xfId="0" applyFont="1" applyFill="1" applyBorder="1" applyAlignment="1" applyProtection="1">
      <alignment wrapText="1"/>
      <protection locked="0"/>
    </xf>
    <xf numFmtId="0" fontId="14" fillId="13" borderId="41" xfId="0" applyFont="1" applyFill="1" applyBorder="1" applyAlignment="1" applyProtection="1">
      <alignment wrapText="1"/>
      <protection locked="0"/>
    </xf>
    <xf numFmtId="0" fontId="0" fillId="0" borderId="12" xfId="0" applyBorder="1" applyProtection="1">
      <protection locked="0"/>
    </xf>
    <xf numFmtId="0" fontId="0" fillId="0" borderId="38" xfId="0" applyBorder="1" applyProtection="1">
      <protection locked="0"/>
    </xf>
    <xf numFmtId="0" fontId="14" fillId="0" borderId="0" xfId="0" applyFont="1" applyFill="1" applyProtection="1">
      <protection locked="0"/>
    </xf>
    <xf numFmtId="0" fontId="0" fillId="0" borderId="0" xfId="0" applyFont="1" applyFill="1" applyProtection="1">
      <protection locked="0"/>
    </xf>
    <xf numFmtId="1" fontId="0" fillId="0" borderId="0" xfId="0" applyNumberFormat="1" applyFill="1"/>
    <xf numFmtId="4" fontId="0" fillId="0" borderId="0" xfId="0" applyNumberFormat="1" applyFont="1" applyFill="1"/>
    <xf numFmtId="1" fontId="14" fillId="0" borderId="0" xfId="0" applyNumberFormat="1" applyFont="1" applyFill="1"/>
    <xf numFmtId="1" fontId="14" fillId="0" borderId="0" xfId="0" applyNumberFormat="1" applyFont="1" applyFill="1" applyAlignment="1">
      <alignment horizontal="right"/>
    </xf>
    <xf numFmtId="0" fontId="38" fillId="0" borderId="0" xfId="0" applyFont="1"/>
    <xf numFmtId="0" fontId="12" fillId="15" borderId="24" xfId="0" applyFont="1" applyFill="1" applyBorder="1" applyAlignment="1" applyProtection="1">
      <alignment horizontal="left"/>
      <protection locked="0"/>
    </xf>
    <xf numFmtId="0" fontId="12" fillId="15" borderId="12" xfId="0" applyFont="1" applyFill="1" applyBorder="1" applyAlignment="1" applyProtection="1">
      <alignment horizontal="left"/>
      <protection locked="0"/>
    </xf>
    <xf numFmtId="0" fontId="12" fillId="15" borderId="27" xfId="0" applyFont="1" applyFill="1" applyBorder="1" applyAlignment="1" applyProtection="1">
      <alignment horizontal="left"/>
      <protection locked="0"/>
    </xf>
    <xf numFmtId="0" fontId="12" fillId="15" borderId="38" xfId="0" applyFont="1" applyFill="1" applyBorder="1" applyAlignment="1" applyProtection="1">
      <alignment horizontal="left"/>
      <protection locked="0"/>
    </xf>
    <xf numFmtId="0" fontId="12" fillId="15" borderId="12" xfId="0" applyFont="1" applyFill="1" applyBorder="1" applyAlignment="1" applyProtection="1">
      <alignment horizontal="center"/>
      <protection locked="0"/>
    </xf>
    <xf numFmtId="0" fontId="12" fillId="15" borderId="20" xfId="0" applyFont="1" applyFill="1" applyBorder="1" applyAlignment="1" applyProtection="1">
      <alignment horizontal="center"/>
      <protection locked="0"/>
    </xf>
    <xf numFmtId="0" fontId="12" fillId="15" borderId="22" xfId="0" applyFont="1" applyFill="1" applyBorder="1" applyAlignment="1" applyProtection="1">
      <alignment horizontal="center"/>
      <protection locked="0"/>
    </xf>
    <xf numFmtId="0" fontId="12" fillId="15" borderId="38" xfId="0" applyFont="1" applyFill="1" applyBorder="1" applyAlignment="1" applyProtection="1">
      <alignment horizontal="center"/>
      <protection locked="0"/>
    </xf>
    <xf numFmtId="0" fontId="14" fillId="13" borderId="42" xfId="0" applyFont="1" applyFill="1" applyBorder="1" applyAlignment="1" applyProtection="1">
      <alignment horizontal="center"/>
      <protection locked="0"/>
    </xf>
    <xf numFmtId="0" fontId="14" fillId="13" borderId="43" xfId="0" applyFont="1" applyFill="1" applyBorder="1" applyAlignment="1" applyProtection="1">
      <alignment horizontal="center"/>
      <protection locked="0"/>
    </xf>
    <xf numFmtId="0" fontId="14" fillId="13" borderId="39" xfId="0" applyFont="1" applyFill="1" applyBorder="1" applyAlignment="1" applyProtection="1">
      <alignment horizontal="left"/>
      <protection locked="0"/>
    </xf>
    <xf numFmtId="0" fontId="14" fillId="13" borderId="40" xfId="0" applyFont="1" applyFill="1" applyBorder="1" applyAlignment="1" applyProtection="1">
      <alignment horizontal="left"/>
      <protection locked="0"/>
    </xf>
    <xf numFmtId="3" fontId="14" fillId="11" borderId="7" xfId="0" applyNumberFormat="1" applyFont="1" applyFill="1" applyBorder="1" applyAlignment="1">
      <alignment horizontal="center"/>
    </xf>
    <xf numFmtId="3" fontId="14" fillId="12" borderId="7" xfId="0" applyNumberFormat="1" applyFont="1" applyFill="1" applyBorder="1" applyAlignment="1">
      <alignment horizontal="center"/>
    </xf>
    <xf numFmtId="0" fontId="0" fillId="0" borderId="0" xfId="0" applyAlignment="1">
      <alignment horizontal="left" wrapText="1"/>
    </xf>
    <xf numFmtId="0" fontId="0" fillId="0" borderId="5" xfId="0" applyBorder="1" applyAlignment="1">
      <alignment horizontal="left" wrapText="1"/>
    </xf>
    <xf numFmtId="0" fontId="14" fillId="0" borderId="0" xfId="0" applyFont="1" applyAlignment="1">
      <alignment horizontal="center"/>
    </xf>
    <xf numFmtId="3" fontId="0" fillId="10" borderId="29" xfId="0" applyNumberFormat="1" applyFill="1" applyBorder="1" applyAlignment="1" applyProtection="1">
      <alignment horizontal="center"/>
      <protection locked="0"/>
    </xf>
    <xf numFmtId="3" fontId="0" fillId="10" borderId="31" xfId="0" applyNumberFormat="1" applyFill="1" applyBorder="1" applyAlignment="1" applyProtection="1">
      <alignment horizontal="center"/>
      <protection locked="0"/>
    </xf>
    <xf numFmtId="3" fontId="0" fillId="10" borderId="35" xfId="0" applyNumberFormat="1" applyFill="1" applyBorder="1" applyAlignment="1" applyProtection="1">
      <alignment horizontal="center"/>
      <protection locked="0"/>
    </xf>
    <xf numFmtId="0" fontId="14" fillId="3" borderId="23" xfId="0" applyFont="1" applyFill="1" applyBorder="1" applyAlignment="1">
      <alignment horizontal="center"/>
    </xf>
    <xf numFmtId="0" fontId="14" fillId="3" borderId="32" xfId="0" applyFont="1" applyFill="1" applyBorder="1" applyAlignment="1">
      <alignment horizontal="center"/>
    </xf>
    <xf numFmtId="0" fontId="14" fillId="3" borderId="11" xfId="0" applyFont="1" applyFill="1" applyBorder="1" applyAlignment="1">
      <alignment horizontal="center"/>
    </xf>
    <xf numFmtId="0" fontId="14" fillId="7" borderId="23" xfId="0" applyFont="1" applyFill="1" applyBorder="1" applyAlignment="1">
      <alignment horizontal="center"/>
    </xf>
    <xf numFmtId="0" fontId="14" fillId="7" borderId="32" xfId="0" applyFont="1" applyFill="1" applyBorder="1" applyAlignment="1">
      <alignment horizontal="center"/>
    </xf>
    <xf numFmtId="0" fontId="14" fillId="7" borderId="11" xfId="0" applyFont="1" applyFill="1" applyBorder="1" applyAlignment="1">
      <alignment horizontal="center"/>
    </xf>
    <xf numFmtId="0" fontId="0" fillId="10" borderId="34" xfId="0" applyFill="1" applyBorder="1" applyAlignment="1" applyProtection="1">
      <alignment horizontal="center"/>
      <protection locked="0"/>
    </xf>
    <xf numFmtId="0" fontId="0" fillId="10" borderId="33" xfId="0" applyFill="1" applyBorder="1" applyAlignment="1" applyProtection="1">
      <alignment horizontal="center"/>
      <protection locked="0"/>
    </xf>
    <xf numFmtId="0" fontId="0" fillId="10" borderId="14" xfId="0" applyFill="1" applyBorder="1" applyAlignment="1" applyProtection="1">
      <alignment horizontal="center"/>
      <protection locked="0"/>
    </xf>
    <xf numFmtId="0" fontId="14" fillId="0" borderId="12" xfId="0" applyFont="1" applyBorder="1" applyAlignment="1">
      <alignment horizontal="center"/>
    </xf>
    <xf numFmtId="0" fontId="14" fillId="0" borderId="18" xfId="0" applyFont="1" applyBorder="1" applyAlignment="1">
      <alignment horizontal="center" wrapText="1"/>
    </xf>
    <xf numFmtId="0" fontId="14" fillId="0" borderId="19" xfId="0" applyFont="1" applyBorder="1" applyAlignment="1">
      <alignment horizontal="center" wrapText="1"/>
    </xf>
    <xf numFmtId="0" fontId="14" fillId="7" borderId="20" xfId="0" applyFont="1" applyFill="1" applyBorder="1" applyAlignment="1">
      <alignment horizontal="center" wrapText="1"/>
    </xf>
    <xf numFmtId="0" fontId="14" fillId="7" borderId="22" xfId="0" applyFont="1" applyFill="1" applyBorder="1" applyAlignment="1">
      <alignment horizontal="center" wrapText="1"/>
    </xf>
    <xf numFmtId="0" fontId="14" fillId="7" borderId="12" xfId="0" applyFont="1" applyFill="1" applyBorder="1" applyAlignment="1">
      <alignment horizontal="center" wrapText="1"/>
    </xf>
    <xf numFmtId="0" fontId="14" fillId="3" borderId="1" xfId="0" applyFont="1" applyFill="1" applyBorder="1" applyAlignment="1">
      <alignment horizontal="center"/>
    </xf>
    <xf numFmtId="0" fontId="14" fillId="3" borderId="3" xfId="0" applyFont="1" applyFill="1" applyBorder="1" applyAlignment="1">
      <alignment horizontal="center"/>
    </xf>
    <xf numFmtId="0" fontId="14" fillId="11" borderId="7" xfId="0" applyFont="1" applyFill="1" applyBorder="1" applyAlignment="1">
      <alignment horizontal="center"/>
    </xf>
    <xf numFmtId="0" fontId="14" fillId="12" borderId="7" xfId="0" applyFont="1" applyFill="1" applyBorder="1" applyAlignment="1">
      <alignment horizontal="center"/>
    </xf>
    <xf numFmtId="0" fontId="14" fillId="7" borderId="1" xfId="0" applyFont="1" applyFill="1" applyBorder="1" applyAlignment="1">
      <alignment horizontal="center" wrapText="1"/>
    </xf>
    <xf numFmtId="0" fontId="14" fillId="7" borderId="3" xfId="0" applyFont="1" applyFill="1" applyBorder="1" applyAlignment="1">
      <alignment horizontal="center" wrapText="1"/>
    </xf>
    <xf numFmtId="0" fontId="14" fillId="3" borderId="12" xfId="0" applyFont="1" applyFill="1" applyBorder="1" applyAlignment="1">
      <alignment horizontal="center" wrapText="1"/>
    </xf>
    <xf numFmtId="0" fontId="14" fillId="10" borderId="0" xfId="0" applyFont="1" applyFill="1" applyAlignment="1">
      <alignment horizontal="center"/>
    </xf>
    <xf numFmtId="0" fontId="14" fillId="3" borderId="1" xfId="0" applyFont="1" applyFill="1" applyBorder="1" applyAlignment="1">
      <alignment horizontal="center" wrapText="1"/>
    </xf>
    <xf numFmtId="0" fontId="14" fillId="3" borderId="3" xfId="0" applyFont="1" applyFill="1" applyBorder="1" applyAlignment="1">
      <alignment horizontal="center" wrapText="1"/>
    </xf>
    <xf numFmtId="0" fontId="14" fillId="0" borderId="7" xfId="0" applyFont="1" applyBorder="1" applyAlignment="1">
      <alignment horizontal="center"/>
    </xf>
    <xf numFmtId="0" fontId="14" fillId="0" borderId="7" xfId="0" applyFont="1" applyBorder="1" applyAlignment="1">
      <alignment horizontal="center" wrapText="1"/>
    </xf>
    <xf numFmtId="3" fontId="14" fillId="0" borderId="20" xfId="0" applyNumberFormat="1" applyFont="1" applyBorder="1" applyAlignment="1">
      <alignment horizontal="center"/>
    </xf>
    <xf numFmtId="3" fontId="14" fillId="0" borderId="21" xfId="0" applyNumberFormat="1" applyFont="1" applyBorder="1" applyAlignment="1">
      <alignment horizontal="center"/>
    </xf>
    <xf numFmtId="3" fontId="14" fillId="0" borderId="22" xfId="0" applyNumberFormat="1" applyFont="1" applyBorder="1" applyAlignment="1">
      <alignment horizontal="center"/>
    </xf>
    <xf numFmtId="0" fontId="14" fillId="0" borderId="2"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14" fillId="7" borderId="1" xfId="0" applyFont="1" applyFill="1" applyBorder="1" applyAlignment="1">
      <alignment horizontal="center"/>
    </xf>
    <xf numFmtId="0" fontId="14" fillId="7" borderId="3" xfId="0" applyFont="1" applyFill="1" applyBorder="1" applyAlignment="1">
      <alignment horizontal="center"/>
    </xf>
  </cellXfs>
  <cellStyles count="1">
    <cellStyle name="Normal" xfId="0" builtinId="0"/>
  </cellStyles>
  <dxfs count="1">
    <dxf>
      <fill>
        <patternFill>
          <bgColor theme="8"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3</xdr:row>
      <xdr:rowOff>57150</xdr:rowOff>
    </xdr:from>
    <xdr:to>
      <xdr:col>2</xdr:col>
      <xdr:colOff>361950</xdr:colOff>
      <xdr:row>5</xdr:row>
      <xdr:rowOff>57150</xdr:rowOff>
    </xdr:to>
    <xdr:pic>
      <xdr:nvPicPr>
        <xdr:cNvPr id="2" name="Picture 1"/>
        <xdr:cNvPicPr/>
      </xdr:nvPicPr>
      <xdr:blipFill>
        <a:blip xmlns:r="http://schemas.openxmlformats.org/officeDocument/2006/relationships" r:embed="rId1" cstate="print"/>
        <a:srcRect/>
        <a:stretch>
          <a:fillRect/>
        </a:stretch>
      </xdr:blipFill>
      <xdr:spPr bwMode="auto">
        <a:xfrm>
          <a:off x="209550" y="771525"/>
          <a:ext cx="1371600" cy="400050"/>
        </a:xfrm>
        <a:prstGeom prst="rect">
          <a:avLst/>
        </a:prstGeom>
        <a:noFill/>
        <a:ln w="9525">
          <a:noFill/>
          <a:miter lim="800000"/>
          <a:headEnd/>
          <a:tailEnd/>
        </a:ln>
      </xdr:spPr>
    </xdr:pic>
    <xdr:clientData/>
  </xdr:twoCellAnchor>
  <xdr:twoCellAnchor editAs="oneCell">
    <xdr:from>
      <xdr:col>0</xdr:col>
      <xdr:colOff>419100</xdr:colOff>
      <xdr:row>6</xdr:row>
      <xdr:rowOff>66675</xdr:rowOff>
    </xdr:from>
    <xdr:to>
      <xdr:col>2</xdr:col>
      <xdr:colOff>11430</xdr:colOff>
      <xdr:row>9</xdr:row>
      <xdr:rowOff>71755</xdr:rowOff>
    </xdr:to>
    <xdr:pic>
      <xdr:nvPicPr>
        <xdr:cNvPr id="3" name="Picture 2" descr="Registry logo COLOR3"/>
        <xdr:cNvPicPr/>
      </xdr:nvPicPr>
      <xdr:blipFill>
        <a:blip xmlns:r="http://schemas.openxmlformats.org/officeDocument/2006/relationships" r:embed="rId2" cstate="print"/>
        <a:srcRect/>
        <a:stretch>
          <a:fillRect/>
        </a:stretch>
      </xdr:blipFill>
      <xdr:spPr bwMode="auto">
        <a:xfrm>
          <a:off x="419100" y="1381125"/>
          <a:ext cx="811530" cy="60515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304800</xdr:colOff>
      <xdr:row>0</xdr:row>
      <xdr:rowOff>0</xdr:rowOff>
    </xdr:from>
    <xdr:to>
      <xdr:col>7</xdr:col>
      <xdr:colOff>506730</xdr:colOff>
      <xdr:row>3</xdr:row>
      <xdr:rowOff>24130</xdr:rowOff>
    </xdr:to>
    <xdr:pic>
      <xdr:nvPicPr>
        <xdr:cNvPr id="2" name="Picture 1" descr="Registry logo COLOR3"/>
        <xdr:cNvPicPr/>
      </xdr:nvPicPr>
      <xdr:blipFill>
        <a:blip xmlns:r="http://schemas.openxmlformats.org/officeDocument/2006/relationships" r:embed="rId1" cstate="print"/>
        <a:srcRect/>
        <a:stretch>
          <a:fillRect/>
        </a:stretch>
      </xdr:blipFill>
      <xdr:spPr bwMode="auto">
        <a:xfrm>
          <a:off x="3962400" y="0"/>
          <a:ext cx="811530" cy="605155"/>
        </a:xfrm>
        <a:prstGeom prst="rect">
          <a:avLst/>
        </a:prstGeom>
        <a:noFill/>
        <a:ln w="9525">
          <a:noFill/>
          <a:miter lim="800000"/>
          <a:headEnd/>
          <a:tailEnd/>
        </a:ln>
      </xdr:spPr>
    </xdr:pic>
    <xdr:clientData/>
  </xdr:twoCellAnchor>
  <xdr:twoCellAnchor editAs="oneCell">
    <xdr:from>
      <xdr:col>13</xdr:col>
      <xdr:colOff>285750</xdr:colOff>
      <xdr:row>0</xdr:row>
      <xdr:rowOff>0</xdr:rowOff>
    </xdr:from>
    <xdr:to>
      <xdr:col>15</xdr:col>
      <xdr:colOff>438150</xdr:colOff>
      <xdr:row>2</xdr:row>
      <xdr:rowOff>9525</xdr:rowOff>
    </xdr:to>
    <xdr:pic>
      <xdr:nvPicPr>
        <xdr:cNvPr id="3" name="Picture 2"/>
        <xdr:cNvPicPr/>
      </xdr:nvPicPr>
      <xdr:blipFill>
        <a:blip xmlns:r="http://schemas.openxmlformats.org/officeDocument/2006/relationships" r:embed="rId2" cstate="print"/>
        <a:srcRect/>
        <a:stretch>
          <a:fillRect/>
        </a:stretch>
      </xdr:blipFill>
      <xdr:spPr bwMode="auto">
        <a:xfrm>
          <a:off x="8210550" y="0"/>
          <a:ext cx="137160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514350</xdr:colOff>
      <xdr:row>1</xdr:row>
      <xdr:rowOff>47625</xdr:rowOff>
    </xdr:from>
    <xdr:to>
      <xdr:col>7</xdr:col>
      <xdr:colOff>676275</xdr:colOff>
      <xdr:row>3</xdr:row>
      <xdr:rowOff>66675</xdr:rowOff>
    </xdr:to>
    <xdr:pic>
      <xdr:nvPicPr>
        <xdr:cNvPr id="2" name="Picture 1"/>
        <xdr:cNvPicPr/>
      </xdr:nvPicPr>
      <xdr:blipFill>
        <a:blip xmlns:r="http://schemas.openxmlformats.org/officeDocument/2006/relationships" r:embed="rId1" cstate="print"/>
        <a:srcRect/>
        <a:stretch>
          <a:fillRect/>
        </a:stretch>
      </xdr:blipFill>
      <xdr:spPr bwMode="auto">
        <a:xfrm>
          <a:off x="2952750" y="238125"/>
          <a:ext cx="1371600" cy="400050"/>
        </a:xfrm>
        <a:prstGeom prst="rect">
          <a:avLst/>
        </a:prstGeom>
        <a:noFill/>
        <a:ln w="9525">
          <a:noFill/>
          <a:miter lim="800000"/>
          <a:headEnd/>
          <a:tailEnd/>
        </a:ln>
      </xdr:spPr>
    </xdr:pic>
    <xdr:clientData/>
  </xdr:twoCellAnchor>
  <xdr:twoCellAnchor editAs="oneCell">
    <xdr:from>
      <xdr:col>2</xdr:col>
      <xdr:colOff>180975</xdr:colOff>
      <xdr:row>0</xdr:row>
      <xdr:rowOff>114300</xdr:rowOff>
    </xdr:from>
    <xdr:to>
      <xdr:col>3</xdr:col>
      <xdr:colOff>382905</xdr:colOff>
      <xdr:row>3</xdr:row>
      <xdr:rowOff>147955</xdr:rowOff>
    </xdr:to>
    <xdr:pic>
      <xdr:nvPicPr>
        <xdr:cNvPr id="3" name="Picture 2" descr="Registry logo COLOR3"/>
        <xdr:cNvPicPr/>
      </xdr:nvPicPr>
      <xdr:blipFill>
        <a:blip xmlns:r="http://schemas.openxmlformats.org/officeDocument/2006/relationships" r:embed="rId2" cstate="print"/>
        <a:srcRect/>
        <a:stretch>
          <a:fillRect/>
        </a:stretch>
      </xdr:blipFill>
      <xdr:spPr bwMode="auto">
        <a:xfrm>
          <a:off x="1400175" y="114300"/>
          <a:ext cx="811530" cy="60515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133350</xdr:colOff>
      <xdr:row>0</xdr:row>
      <xdr:rowOff>47625</xdr:rowOff>
    </xdr:from>
    <xdr:to>
      <xdr:col>1</xdr:col>
      <xdr:colOff>944880</xdr:colOff>
      <xdr:row>3</xdr:row>
      <xdr:rowOff>52705</xdr:rowOff>
    </xdr:to>
    <xdr:pic>
      <xdr:nvPicPr>
        <xdr:cNvPr id="2" name="Picture 1" descr="Registry logo COLOR3"/>
        <xdr:cNvPicPr/>
      </xdr:nvPicPr>
      <xdr:blipFill>
        <a:blip xmlns:r="http://schemas.openxmlformats.org/officeDocument/2006/relationships" r:embed="rId1" cstate="print"/>
        <a:srcRect/>
        <a:stretch>
          <a:fillRect/>
        </a:stretch>
      </xdr:blipFill>
      <xdr:spPr bwMode="auto">
        <a:xfrm>
          <a:off x="2200275" y="47625"/>
          <a:ext cx="811530" cy="605155"/>
        </a:xfrm>
        <a:prstGeom prst="rect">
          <a:avLst/>
        </a:prstGeom>
        <a:noFill/>
        <a:ln w="9525">
          <a:noFill/>
          <a:miter lim="800000"/>
          <a:headEnd/>
          <a:tailEnd/>
        </a:ln>
      </xdr:spPr>
    </xdr:pic>
    <xdr:clientData/>
  </xdr:twoCellAnchor>
  <xdr:twoCellAnchor editAs="oneCell">
    <xdr:from>
      <xdr:col>2</xdr:col>
      <xdr:colOff>904875</xdr:colOff>
      <xdr:row>0</xdr:row>
      <xdr:rowOff>142875</xdr:rowOff>
    </xdr:from>
    <xdr:to>
      <xdr:col>4</xdr:col>
      <xdr:colOff>247650</xdr:colOff>
      <xdr:row>2</xdr:row>
      <xdr:rowOff>142875</xdr:rowOff>
    </xdr:to>
    <xdr:pic>
      <xdr:nvPicPr>
        <xdr:cNvPr id="3" name="Picture 2"/>
        <xdr:cNvPicPr/>
      </xdr:nvPicPr>
      <xdr:blipFill>
        <a:blip xmlns:r="http://schemas.openxmlformats.org/officeDocument/2006/relationships" r:embed="rId2" cstate="print"/>
        <a:srcRect/>
        <a:stretch>
          <a:fillRect/>
        </a:stretch>
      </xdr:blipFill>
      <xdr:spPr bwMode="auto">
        <a:xfrm>
          <a:off x="4610100" y="142875"/>
          <a:ext cx="1371600" cy="400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259080</xdr:colOff>
      <xdr:row>3</xdr:row>
      <xdr:rowOff>24130</xdr:rowOff>
    </xdr:to>
    <xdr:pic>
      <xdr:nvPicPr>
        <xdr:cNvPr id="2" name="Picture 1" descr="Registry logo COLOR3"/>
        <xdr:cNvPicPr/>
      </xdr:nvPicPr>
      <xdr:blipFill>
        <a:blip xmlns:r="http://schemas.openxmlformats.org/officeDocument/2006/relationships" r:embed="rId1" cstate="print"/>
        <a:srcRect/>
        <a:stretch>
          <a:fillRect/>
        </a:stretch>
      </xdr:blipFill>
      <xdr:spPr bwMode="auto">
        <a:xfrm>
          <a:off x="3514725" y="0"/>
          <a:ext cx="811530" cy="605155"/>
        </a:xfrm>
        <a:prstGeom prst="rect">
          <a:avLst/>
        </a:prstGeom>
        <a:noFill/>
        <a:ln w="9525">
          <a:noFill/>
          <a:miter lim="800000"/>
          <a:headEnd/>
          <a:tailEnd/>
        </a:ln>
      </xdr:spPr>
    </xdr:pic>
    <xdr:clientData/>
  </xdr:twoCellAnchor>
  <xdr:twoCellAnchor editAs="oneCell">
    <xdr:from>
      <xdr:col>7</xdr:col>
      <xdr:colOff>0</xdr:colOff>
      <xdr:row>0</xdr:row>
      <xdr:rowOff>0</xdr:rowOff>
    </xdr:from>
    <xdr:to>
      <xdr:col>8</xdr:col>
      <xdr:colOff>809625</xdr:colOff>
      <xdr:row>2</xdr:row>
      <xdr:rowOff>9525</xdr:rowOff>
    </xdr:to>
    <xdr:pic>
      <xdr:nvPicPr>
        <xdr:cNvPr id="3" name="Picture 2"/>
        <xdr:cNvPicPr/>
      </xdr:nvPicPr>
      <xdr:blipFill>
        <a:blip xmlns:r="http://schemas.openxmlformats.org/officeDocument/2006/relationships" r:embed="rId2" cstate="print"/>
        <a:srcRect/>
        <a:stretch>
          <a:fillRect/>
        </a:stretch>
      </xdr:blipFill>
      <xdr:spPr bwMode="auto">
        <a:xfrm>
          <a:off x="5953125" y="0"/>
          <a:ext cx="1371600" cy="400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2124075</xdr:colOff>
      <xdr:row>0</xdr:row>
      <xdr:rowOff>0</xdr:rowOff>
    </xdr:from>
    <xdr:to>
      <xdr:col>1</xdr:col>
      <xdr:colOff>649605</xdr:colOff>
      <xdr:row>3</xdr:row>
      <xdr:rowOff>14605</xdr:rowOff>
    </xdr:to>
    <xdr:pic>
      <xdr:nvPicPr>
        <xdr:cNvPr id="2" name="Picture 1" descr="Registry logo COLOR3"/>
        <xdr:cNvPicPr/>
      </xdr:nvPicPr>
      <xdr:blipFill>
        <a:blip xmlns:r="http://schemas.openxmlformats.org/officeDocument/2006/relationships" r:embed="rId1" cstate="print"/>
        <a:srcRect/>
        <a:stretch>
          <a:fillRect/>
        </a:stretch>
      </xdr:blipFill>
      <xdr:spPr bwMode="auto">
        <a:xfrm>
          <a:off x="2124075" y="0"/>
          <a:ext cx="868680" cy="595630"/>
        </a:xfrm>
        <a:prstGeom prst="rect">
          <a:avLst/>
        </a:prstGeom>
        <a:noFill/>
        <a:ln w="9525">
          <a:noFill/>
          <a:miter lim="800000"/>
          <a:headEnd/>
          <a:tailEnd/>
        </a:ln>
      </xdr:spPr>
    </xdr:pic>
    <xdr:clientData/>
  </xdr:twoCellAnchor>
  <xdr:twoCellAnchor editAs="oneCell">
    <xdr:from>
      <xdr:col>2</xdr:col>
      <xdr:colOff>66675</xdr:colOff>
      <xdr:row>0</xdr:row>
      <xdr:rowOff>142875</xdr:rowOff>
    </xdr:from>
    <xdr:to>
      <xdr:col>2</xdr:col>
      <xdr:colOff>1285875</xdr:colOff>
      <xdr:row>2</xdr:row>
      <xdr:rowOff>142875</xdr:rowOff>
    </xdr:to>
    <xdr:pic>
      <xdr:nvPicPr>
        <xdr:cNvPr id="3" name="Picture 2"/>
        <xdr:cNvPicPr/>
      </xdr:nvPicPr>
      <xdr:blipFill>
        <a:blip xmlns:r="http://schemas.openxmlformats.org/officeDocument/2006/relationships" r:embed="rId2" cstate="print"/>
        <a:srcRect/>
        <a:stretch>
          <a:fillRect/>
        </a:stretch>
      </xdr:blipFill>
      <xdr:spPr bwMode="auto">
        <a:xfrm>
          <a:off x="3762375" y="142875"/>
          <a:ext cx="1219200" cy="390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0</xdr:row>
      <xdr:rowOff>66675</xdr:rowOff>
    </xdr:from>
    <xdr:to>
      <xdr:col>2</xdr:col>
      <xdr:colOff>30480</xdr:colOff>
      <xdr:row>3</xdr:row>
      <xdr:rowOff>90805</xdr:rowOff>
    </xdr:to>
    <xdr:pic>
      <xdr:nvPicPr>
        <xdr:cNvPr id="2" name="Picture 1" descr="Registry logo COLOR3"/>
        <xdr:cNvPicPr/>
      </xdr:nvPicPr>
      <xdr:blipFill>
        <a:blip xmlns:r="http://schemas.openxmlformats.org/officeDocument/2006/relationships" r:embed="rId1" cstate="print"/>
        <a:srcRect/>
        <a:stretch>
          <a:fillRect/>
        </a:stretch>
      </xdr:blipFill>
      <xdr:spPr bwMode="auto">
        <a:xfrm>
          <a:off x="2581275" y="66675"/>
          <a:ext cx="811530" cy="605155"/>
        </a:xfrm>
        <a:prstGeom prst="rect">
          <a:avLst/>
        </a:prstGeom>
        <a:noFill/>
        <a:ln w="9525">
          <a:noFill/>
          <a:miter lim="800000"/>
          <a:headEnd/>
          <a:tailEnd/>
        </a:ln>
      </xdr:spPr>
    </xdr:pic>
    <xdr:clientData/>
  </xdr:twoCellAnchor>
  <xdr:twoCellAnchor editAs="oneCell">
    <xdr:from>
      <xdr:col>3</xdr:col>
      <xdr:colOff>238125</xdr:colOff>
      <xdr:row>0</xdr:row>
      <xdr:rowOff>133350</xdr:rowOff>
    </xdr:from>
    <xdr:to>
      <xdr:col>4</xdr:col>
      <xdr:colOff>438150</xdr:colOff>
      <xdr:row>2</xdr:row>
      <xdr:rowOff>142875</xdr:rowOff>
    </xdr:to>
    <xdr:pic>
      <xdr:nvPicPr>
        <xdr:cNvPr id="3" name="Picture 2"/>
        <xdr:cNvPicPr/>
      </xdr:nvPicPr>
      <xdr:blipFill>
        <a:blip xmlns:r="http://schemas.openxmlformats.org/officeDocument/2006/relationships" r:embed="rId2" cstate="print"/>
        <a:srcRect/>
        <a:stretch>
          <a:fillRect/>
        </a:stretch>
      </xdr:blipFill>
      <xdr:spPr bwMode="auto">
        <a:xfrm>
          <a:off x="4295775" y="133350"/>
          <a:ext cx="1371600" cy="400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76200</xdr:rowOff>
    </xdr:from>
    <xdr:to>
      <xdr:col>2</xdr:col>
      <xdr:colOff>211455</xdr:colOff>
      <xdr:row>3</xdr:row>
      <xdr:rowOff>100330</xdr:rowOff>
    </xdr:to>
    <xdr:pic>
      <xdr:nvPicPr>
        <xdr:cNvPr id="2" name="Picture 1" descr="Registry logo COLOR3"/>
        <xdr:cNvPicPr/>
      </xdr:nvPicPr>
      <xdr:blipFill>
        <a:blip xmlns:r="http://schemas.openxmlformats.org/officeDocument/2006/relationships" r:embed="rId1" cstate="print"/>
        <a:srcRect/>
        <a:stretch>
          <a:fillRect/>
        </a:stretch>
      </xdr:blipFill>
      <xdr:spPr bwMode="auto">
        <a:xfrm>
          <a:off x="2257425" y="76200"/>
          <a:ext cx="811530" cy="605155"/>
        </a:xfrm>
        <a:prstGeom prst="rect">
          <a:avLst/>
        </a:prstGeom>
        <a:noFill/>
        <a:ln w="9525">
          <a:noFill/>
          <a:miter lim="800000"/>
          <a:headEnd/>
          <a:tailEnd/>
        </a:ln>
      </xdr:spPr>
    </xdr:pic>
    <xdr:clientData/>
  </xdr:twoCellAnchor>
  <xdr:twoCellAnchor editAs="oneCell">
    <xdr:from>
      <xdr:col>2</xdr:col>
      <xdr:colOff>933450</xdr:colOff>
      <xdr:row>0</xdr:row>
      <xdr:rowOff>161925</xdr:rowOff>
    </xdr:from>
    <xdr:to>
      <xdr:col>5</xdr:col>
      <xdr:colOff>152400</xdr:colOff>
      <xdr:row>2</xdr:row>
      <xdr:rowOff>171450</xdr:rowOff>
    </xdr:to>
    <xdr:pic>
      <xdr:nvPicPr>
        <xdr:cNvPr id="3" name="Picture 2"/>
        <xdr:cNvPicPr/>
      </xdr:nvPicPr>
      <xdr:blipFill>
        <a:blip xmlns:r="http://schemas.openxmlformats.org/officeDocument/2006/relationships" r:embed="rId2" cstate="print"/>
        <a:srcRect/>
        <a:stretch>
          <a:fillRect/>
        </a:stretch>
      </xdr:blipFill>
      <xdr:spPr bwMode="auto">
        <a:xfrm>
          <a:off x="3790950" y="161925"/>
          <a:ext cx="1371600" cy="400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638175</xdr:colOff>
      <xdr:row>10</xdr:row>
      <xdr:rowOff>66675</xdr:rowOff>
    </xdr:from>
    <xdr:to>
      <xdr:col>17</xdr:col>
      <xdr:colOff>409575</xdr:colOff>
      <xdr:row>30</xdr:row>
      <xdr:rowOff>161925</xdr:rowOff>
    </xdr:to>
    <xdr:sp macro="" textlink="">
      <xdr:nvSpPr>
        <xdr:cNvPr id="2" name="TextBox 1"/>
        <xdr:cNvSpPr txBox="1"/>
      </xdr:nvSpPr>
      <xdr:spPr>
        <a:xfrm>
          <a:off x="11953875" y="2552700"/>
          <a:ext cx="6286500" cy="3905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EFCO2,f is calculated following IPCC and CDM</a:t>
          </a:r>
          <a:r>
            <a:rPr lang="en-US" sz="1100" baseline="0"/>
            <a:t> guidelines as follows (and as referenced in Section 5.3 of the ACR fertilizer methodology:</a:t>
          </a:r>
        </a:p>
        <a:p>
          <a:endParaRPr lang="en-US" sz="1100" baseline="0"/>
        </a:p>
        <a:p>
          <a:r>
            <a:rPr lang="en-US" sz="1100" baseline="0"/>
            <a:t>If the fertilizer used is urea, the EFCO2,f = 1.54 t CO2e per ton urea based on IPCC default values shall be used, which takes into account the fact that the total GHG emissions from urea would be GHG emissions during ammonia production - intermediate CO2 storage in urea + CO2 release due to urea application (see 2006 IPCC Guidelines for National Greenhouse Gas Inventories, Volume 3: Industrial Processes and Product Use; Chapter 3.2 Ammonia Production).</a:t>
          </a:r>
        </a:p>
        <a:p>
          <a:endParaRPr lang="en-US" sz="1100" baseline="0"/>
        </a:p>
        <a:p>
          <a:r>
            <a:rPr lang="en-US" sz="1100" baseline="0"/>
            <a:t>In case of other synthetic nitrogen fertilizers in the absence of reliable project specific data, conservative values may be calculated (as long as the mass ratio of N in the fertilizer is known) using the following formula: </a:t>
          </a:r>
        </a:p>
        <a:p>
          <a:r>
            <a:rPr lang="en-US" sz="1100" baseline="0"/>
            <a:t>EFCO2,f = Ncontf * 0.82 * 2.014</a:t>
          </a:r>
        </a:p>
        <a:p>
          <a:r>
            <a:rPr lang="en-US" sz="1100" baseline="0"/>
            <a:t>Where</a:t>
          </a:r>
        </a:p>
        <a:p>
          <a:r>
            <a:rPr lang="en-US" sz="1100" baseline="0"/>
            <a:t>EFCO2,f = The emission factor for the production of fertilizer f; t CO2 per ton fertilizer f</a:t>
          </a:r>
        </a:p>
        <a:p>
          <a:r>
            <a:rPr lang="en-US" sz="1100" baseline="0"/>
            <a:t>Ncontf = The N content of fertilizer f on a mass ratio basis (see parameter table for examples for common synthetic N fertilizer types); %</a:t>
          </a:r>
        </a:p>
        <a:p>
          <a:r>
            <a:rPr lang="en-US" sz="1100" baseline="0"/>
            <a:t>0.82 = The mass ratio between N and NH3</a:t>
          </a:r>
        </a:p>
        <a:p>
          <a:r>
            <a:rPr lang="en-US" sz="1100" baseline="0"/>
            <a:t>2.014 = A conservative emission factor for ammonia production; t CO2 per ton NH3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Z2243"/>
  <sheetViews>
    <sheetView tabSelected="1" workbookViewId="0">
      <selection activeCell="C9" sqref="C9"/>
    </sheetView>
  </sheetViews>
  <sheetFormatPr defaultRowHeight="14.4" x14ac:dyDescent="0.3"/>
  <cols>
    <col min="1" max="2" width="9.109375" style="54"/>
    <col min="5" max="5" width="9.6640625" bestFit="1" customWidth="1"/>
    <col min="14" max="1196" width="9.109375" style="54"/>
  </cols>
  <sheetData>
    <row r="1" spans="3:13" s="54" customFormat="1" ht="20.399999999999999" x14ac:dyDescent="0.3">
      <c r="I1" s="55" t="s">
        <v>14</v>
      </c>
    </row>
    <row r="2" spans="3:13" s="54" customFormat="1" ht="20.399999999999999" x14ac:dyDescent="0.3">
      <c r="I2" s="55"/>
    </row>
    <row r="3" spans="3:13" ht="15.6" x14ac:dyDescent="0.3">
      <c r="C3" s="54"/>
      <c r="D3" s="54"/>
      <c r="E3" s="1"/>
      <c r="F3" s="2"/>
      <c r="G3" s="2"/>
      <c r="H3" s="2"/>
      <c r="I3" s="3" t="s">
        <v>0</v>
      </c>
      <c r="J3" s="2"/>
      <c r="K3" s="2"/>
      <c r="L3" s="2"/>
      <c r="M3" s="4"/>
    </row>
    <row r="4" spans="3:13" ht="15.6" x14ac:dyDescent="0.3">
      <c r="C4" s="54"/>
      <c r="D4" s="54"/>
      <c r="E4" s="5"/>
      <c r="F4" s="6"/>
      <c r="G4" s="6"/>
      <c r="H4" s="6"/>
      <c r="I4" s="7"/>
      <c r="J4" s="6"/>
      <c r="K4" s="6"/>
      <c r="L4" s="6"/>
      <c r="M4" s="8"/>
    </row>
    <row r="5" spans="3:13" ht="16.2" x14ac:dyDescent="0.3">
      <c r="C5" s="54"/>
      <c r="D5" s="54"/>
      <c r="E5" s="9"/>
      <c r="F5" s="10"/>
      <c r="G5" s="10"/>
      <c r="H5" s="10"/>
      <c r="I5" s="11" t="s">
        <v>5</v>
      </c>
      <c r="J5" s="10"/>
      <c r="K5" s="10"/>
      <c r="L5" s="10"/>
      <c r="M5" s="12"/>
    </row>
    <row r="6" spans="3:13" s="54" customFormat="1" ht="15.6" x14ac:dyDescent="0.3">
      <c r="I6" s="53"/>
    </row>
    <row r="7" spans="3:13" ht="15.6" x14ac:dyDescent="0.3">
      <c r="C7" s="54"/>
      <c r="D7" s="54"/>
      <c r="E7" s="13"/>
      <c r="F7" s="14"/>
      <c r="G7" s="14"/>
      <c r="H7" s="14"/>
      <c r="I7" s="15" t="s">
        <v>1</v>
      </c>
      <c r="J7" s="14"/>
      <c r="K7" s="14"/>
      <c r="L7" s="14"/>
      <c r="M7" s="16"/>
    </row>
    <row r="8" spans="3:13" ht="15.6" x14ac:dyDescent="0.3">
      <c r="C8" s="54"/>
      <c r="D8" s="54"/>
      <c r="E8" s="17"/>
      <c r="F8" s="18"/>
      <c r="G8" s="18"/>
      <c r="H8" s="18"/>
      <c r="I8" s="19"/>
      <c r="J8" s="18"/>
      <c r="K8" s="18"/>
      <c r="L8" s="18"/>
      <c r="M8" s="20"/>
    </row>
    <row r="9" spans="3:13" ht="15.6" x14ac:dyDescent="0.3">
      <c r="C9" s="54"/>
      <c r="D9" s="54"/>
      <c r="E9" s="21"/>
      <c r="F9" s="22"/>
      <c r="G9" s="22"/>
      <c r="H9" s="22"/>
      <c r="I9" s="23" t="s">
        <v>761</v>
      </c>
      <c r="J9" s="22"/>
      <c r="K9" s="22"/>
      <c r="L9" s="22"/>
      <c r="M9" s="24"/>
    </row>
    <row r="10" spans="3:13" s="54" customFormat="1" ht="15.6" x14ac:dyDescent="0.3">
      <c r="I10" s="53"/>
    </row>
    <row r="11" spans="3:13" s="54" customFormat="1" ht="15.6" x14ac:dyDescent="0.3">
      <c r="I11" s="53"/>
    </row>
    <row r="12" spans="3:13" ht="15.6" x14ac:dyDescent="0.3">
      <c r="C12" s="54"/>
      <c r="D12" s="54"/>
      <c r="E12" s="25" t="s">
        <v>2</v>
      </c>
      <c r="F12" s="26"/>
      <c r="G12" s="26"/>
      <c r="H12" s="26"/>
      <c r="I12" s="26"/>
      <c r="J12" s="26"/>
      <c r="K12" s="26"/>
      <c r="L12" s="26"/>
      <c r="M12" s="27"/>
    </row>
    <row r="13" spans="3:13" ht="15.6" x14ac:dyDescent="0.3">
      <c r="C13" s="54"/>
      <c r="D13" s="54"/>
      <c r="E13" s="28" t="s">
        <v>792</v>
      </c>
      <c r="F13" s="29"/>
      <c r="G13" s="29"/>
      <c r="H13" s="29"/>
      <c r="I13" s="29"/>
      <c r="J13" s="29"/>
      <c r="K13" s="29"/>
      <c r="L13" s="29"/>
      <c r="M13" s="30"/>
    </row>
    <row r="14" spans="3:13" ht="18" x14ac:dyDescent="0.3">
      <c r="C14" s="54"/>
      <c r="D14" s="54"/>
      <c r="E14" s="28" t="s">
        <v>6</v>
      </c>
      <c r="F14" s="29"/>
      <c r="G14" s="29"/>
      <c r="H14" s="29"/>
      <c r="I14" s="29"/>
      <c r="J14" s="29"/>
      <c r="K14" s="29"/>
      <c r="L14" s="29"/>
      <c r="M14" s="30"/>
    </row>
    <row r="15" spans="3:13" ht="15.6" x14ac:dyDescent="0.3">
      <c r="C15" s="54"/>
      <c r="D15" s="54"/>
      <c r="E15" s="28" t="s">
        <v>795</v>
      </c>
      <c r="F15" s="29"/>
      <c r="G15" s="29"/>
      <c r="H15" s="29"/>
      <c r="I15" s="29"/>
      <c r="J15" s="29"/>
      <c r="K15" s="31"/>
      <c r="L15" s="29"/>
      <c r="M15" s="30"/>
    </row>
    <row r="16" spans="3:13" ht="18" x14ac:dyDescent="0.3">
      <c r="C16" s="54"/>
      <c r="D16" s="54"/>
      <c r="E16" s="28" t="s">
        <v>7</v>
      </c>
      <c r="F16" s="29"/>
      <c r="G16" s="29"/>
      <c r="H16" s="29"/>
      <c r="I16" s="29"/>
      <c r="J16" s="29"/>
      <c r="K16" s="31"/>
      <c r="L16" s="29"/>
      <c r="M16" s="30"/>
    </row>
    <row r="17" spans="3:13" ht="15.6" x14ac:dyDescent="0.3">
      <c r="C17" s="54"/>
      <c r="D17" s="54"/>
      <c r="E17" s="28" t="s">
        <v>793</v>
      </c>
      <c r="F17" s="29"/>
      <c r="G17" s="29"/>
      <c r="H17" s="29"/>
      <c r="I17" s="29"/>
      <c r="J17" s="29"/>
      <c r="K17" s="31"/>
      <c r="L17" s="29"/>
      <c r="M17" s="30"/>
    </row>
    <row r="18" spans="3:13" ht="18" x14ac:dyDescent="0.3">
      <c r="C18" s="54"/>
      <c r="D18" s="54"/>
      <c r="E18" s="28" t="s">
        <v>8</v>
      </c>
      <c r="F18" s="29"/>
      <c r="G18" s="29"/>
      <c r="H18" s="29"/>
      <c r="I18" s="29"/>
      <c r="J18" s="29"/>
      <c r="K18" s="31"/>
      <c r="L18" s="29"/>
      <c r="M18" s="30"/>
    </row>
    <row r="19" spans="3:13" ht="15.6" x14ac:dyDescent="0.3">
      <c r="C19" s="54"/>
      <c r="D19" s="54"/>
      <c r="E19" s="28" t="s">
        <v>794</v>
      </c>
      <c r="F19" s="29"/>
      <c r="G19" s="29"/>
      <c r="H19" s="29"/>
      <c r="I19" s="29"/>
      <c r="J19" s="29"/>
      <c r="K19" s="29"/>
      <c r="L19" s="29"/>
      <c r="M19" s="30"/>
    </row>
    <row r="20" spans="3:13" ht="18" x14ac:dyDescent="0.3">
      <c r="C20" s="54"/>
      <c r="D20" s="54"/>
      <c r="E20" s="28" t="s">
        <v>9</v>
      </c>
      <c r="F20" s="29"/>
      <c r="G20" s="29"/>
      <c r="H20" s="29"/>
      <c r="I20" s="29"/>
      <c r="J20" s="29"/>
      <c r="K20" s="29"/>
      <c r="L20" s="29"/>
      <c r="M20" s="30"/>
    </row>
    <row r="21" spans="3:13" ht="15.6" x14ac:dyDescent="0.3">
      <c r="C21" s="54"/>
      <c r="D21" s="54"/>
      <c r="E21" s="28" t="s">
        <v>796</v>
      </c>
      <c r="F21" s="29"/>
      <c r="G21" s="29"/>
      <c r="H21" s="29"/>
      <c r="I21" s="29"/>
      <c r="J21" s="29"/>
      <c r="K21" s="32"/>
      <c r="L21" s="29"/>
      <c r="M21" s="30"/>
    </row>
    <row r="22" spans="3:13" ht="18" x14ac:dyDescent="0.3">
      <c r="C22" s="54"/>
      <c r="D22" s="54"/>
      <c r="E22" s="33" t="s">
        <v>10</v>
      </c>
      <c r="F22" s="34"/>
      <c r="G22" s="34"/>
      <c r="H22" s="34"/>
      <c r="I22" s="34"/>
      <c r="J22" s="34"/>
      <c r="K22" s="35"/>
      <c r="L22" s="34"/>
      <c r="M22" s="36"/>
    </row>
    <row r="23" spans="3:13" ht="15.6" x14ac:dyDescent="0.3">
      <c r="C23" s="54"/>
      <c r="D23" s="54"/>
      <c r="E23" s="54"/>
      <c r="F23" s="54"/>
      <c r="G23" s="54"/>
      <c r="H23" s="54"/>
      <c r="I23" s="54"/>
      <c r="J23" s="54"/>
      <c r="K23" s="53"/>
      <c r="L23" s="54"/>
      <c r="M23" s="54"/>
    </row>
    <row r="24" spans="3:13" ht="15.6" x14ac:dyDescent="0.3">
      <c r="C24" s="54"/>
      <c r="D24" s="54"/>
      <c r="E24" s="37" t="s">
        <v>3</v>
      </c>
      <c r="F24" s="38"/>
      <c r="G24" s="38"/>
      <c r="H24" s="38"/>
      <c r="I24" s="38"/>
      <c r="J24" s="38"/>
      <c r="K24" s="38"/>
      <c r="L24" s="38"/>
      <c r="M24" s="39"/>
    </row>
    <row r="25" spans="3:13" ht="15.6" x14ac:dyDescent="0.3">
      <c r="C25" s="54"/>
      <c r="D25" s="54"/>
      <c r="E25" s="181" t="s">
        <v>737</v>
      </c>
      <c r="F25" s="40"/>
      <c r="G25" s="40"/>
      <c r="H25" s="40"/>
      <c r="I25" s="40"/>
      <c r="J25" s="40"/>
      <c r="K25" s="41"/>
      <c r="L25" s="40"/>
      <c r="M25" s="42"/>
    </row>
    <row r="26" spans="3:13" x14ac:dyDescent="0.3">
      <c r="C26" s="54"/>
      <c r="D26" s="54"/>
      <c r="E26" s="180" t="s">
        <v>738</v>
      </c>
      <c r="F26" s="40"/>
      <c r="G26" s="40"/>
      <c r="H26" s="40"/>
      <c r="I26" s="40"/>
      <c r="J26" s="40"/>
      <c r="K26" s="40"/>
      <c r="L26" s="40"/>
      <c r="M26" s="42"/>
    </row>
    <row r="27" spans="3:13" x14ac:dyDescent="0.3">
      <c r="C27" s="54"/>
      <c r="D27" s="54"/>
      <c r="E27" s="180" t="s">
        <v>739</v>
      </c>
      <c r="F27" s="40"/>
      <c r="G27" s="40"/>
      <c r="H27" s="40"/>
      <c r="I27" s="40"/>
      <c r="J27" s="40"/>
      <c r="K27" s="40"/>
      <c r="L27" s="40"/>
      <c r="M27" s="42"/>
    </row>
    <row r="28" spans="3:13" x14ac:dyDescent="0.3">
      <c r="C28" s="54"/>
      <c r="D28" s="54"/>
      <c r="E28" s="180" t="s">
        <v>747</v>
      </c>
      <c r="F28" s="40"/>
      <c r="G28" s="40"/>
      <c r="H28" s="40"/>
      <c r="I28" s="40"/>
      <c r="J28" s="40"/>
      <c r="K28" s="40"/>
      <c r="L28" s="40"/>
      <c r="M28" s="42"/>
    </row>
    <row r="29" spans="3:13" x14ac:dyDescent="0.3">
      <c r="C29" s="54"/>
      <c r="D29" s="54"/>
      <c r="E29" s="43" t="s">
        <v>740</v>
      </c>
      <c r="F29" s="40"/>
      <c r="G29" s="40"/>
      <c r="H29" s="40"/>
      <c r="I29" s="40"/>
      <c r="J29" s="40"/>
      <c r="K29" s="40"/>
      <c r="L29" s="40"/>
      <c r="M29" s="42"/>
    </row>
    <row r="30" spans="3:13" x14ac:dyDescent="0.3">
      <c r="C30" s="54"/>
      <c r="D30" s="54"/>
      <c r="E30" s="43" t="s">
        <v>741</v>
      </c>
      <c r="F30" s="40"/>
      <c r="G30" s="40"/>
      <c r="H30" s="40"/>
      <c r="I30" s="40"/>
      <c r="J30" s="40"/>
      <c r="K30" s="40"/>
      <c r="L30" s="40"/>
      <c r="M30" s="42"/>
    </row>
    <row r="31" spans="3:13" x14ac:dyDescent="0.3">
      <c r="C31" s="54"/>
      <c r="D31" s="54"/>
      <c r="E31" s="44" t="s">
        <v>748</v>
      </c>
      <c r="F31" s="45"/>
      <c r="G31" s="45"/>
      <c r="H31" s="45"/>
      <c r="I31" s="45"/>
      <c r="J31" s="45"/>
      <c r="K31" s="45"/>
      <c r="L31" s="45"/>
      <c r="M31" s="46"/>
    </row>
    <row r="32" spans="3:13" x14ac:dyDescent="0.3">
      <c r="C32" s="54"/>
      <c r="D32" s="54"/>
      <c r="E32" s="54"/>
      <c r="F32" s="54"/>
      <c r="G32" s="54"/>
      <c r="H32" s="54"/>
      <c r="I32" s="54"/>
      <c r="J32" s="54"/>
      <c r="K32" s="54"/>
      <c r="L32" s="54"/>
      <c r="M32" s="54"/>
    </row>
    <row r="33" spans="3:13" x14ac:dyDescent="0.3">
      <c r="C33" s="54"/>
      <c r="D33" s="54"/>
      <c r="E33" s="54"/>
      <c r="F33" s="54"/>
      <c r="G33" s="54"/>
      <c r="H33" s="54"/>
      <c r="I33" s="54"/>
      <c r="J33" s="54"/>
      <c r="K33" s="54"/>
      <c r="L33" s="54"/>
      <c r="M33" s="54"/>
    </row>
    <row r="34" spans="3:13" x14ac:dyDescent="0.3">
      <c r="C34" s="54"/>
      <c r="D34" s="54"/>
      <c r="E34" s="54"/>
      <c r="F34" s="54"/>
      <c r="G34" s="54"/>
      <c r="H34" s="54"/>
      <c r="I34" s="54"/>
      <c r="J34" s="54"/>
      <c r="K34" s="54"/>
      <c r="L34" s="54"/>
      <c r="M34" s="54"/>
    </row>
    <row r="35" spans="3:13" x14ac:dyDescent="0.3">
      <c r="C35" s="54"/>
      <c r="D35" s="54"/>
      <c r="E35" s="54"/>
      <c r="F35" s="54"/>
      <c r="G35" s="54"/>
      <c r="H35" s="54"/>
      <c r="I35" s="54"/>
      <c r="J35" s="54"/>
      <c r="K35" s="54"/>
      <c r="L35" s="54"/>
      <c r="M35" s="54"/>
    </row>
    <row r="36" spans="3:13" x14ac:dyDescent="0.3">
      <c r="C36" s="54"/>
      <c r="D36" s="54"/>
      <c r="E36" s="54"/>
      <c r="F36" s="54"/>
      <c r="G36" s="54"/>
      <c r="H36" s="54"/>
      <c r="I36" s="54"/>
      <c r="J36" s="54"/>
      <c r="K36" s="54"/>
      <c r="L36" s="54"/>
      <c r="M36" s="54"/>
    </row>
    <row r="37" spans="3:13" x14ac:dyDescent="0.3">
      <c r="C37" s="54"/>
      <c r="D37" s="54"/>
      <c r="E37" s="54"/>
      <c r="F37" s="54"/>
      <c r="G37" s="54"/>
      <c r="H37" s="54"/>
      <c r="I37" s="54"/>
      <c r="J37" s="54"/>
      <c r="K37" s="54"/>
      <c r="L37" s="54"/>
      <c r="M37" s="54"/>
    </row>
    <row r="38" spans="3:13" x14ac:dyDescent="0.3">
      <c r="C38" s="54"/>
      <c r="D38" s="54"/>
      <c r="E38" s="54"/>
      <c r="F38" s="54"/>
      <c r="G38" s="54"/>
      <c r="H38" s="54"/>
      <c r="I38" s="54"/>
      <c r="J38" s="54"/>
      <c r="K38" s="54"/>
      <c r="L38" s="54"/>
      <c r="M38" s="54"/>
    </row>
    <row r="39" spans="3:13" x14ac:dyDescent="0.3">
      <c r="C39" s="54"/>
      <c r="D39" s="54"/>
      <c r="E39" s="54"/>
      <c r="F39" s="54"/>
      <c r="G39" s="54"/>
      <c r="H39" s="54"/>
      <c r="I39" s="54"/>
      <c r="J39" s="54"/>
      <c r="K39" s="54"/>
      <c r="L39" s="54"/>
      <c r="M39" s="54"/>
    </row>
    <row r="40" spans="3:13" x14ac:dyDescent="0.3">
      <c r="C40" s="54"/>
      <c r="D40" s="54"/>
      <c r="E40" s="54"/>
      <c r="F40" s="54"/>
      <c r="G40" s="54"/>
      <c r="H40" s="54"/>
      <c r="I40" s="54"/>
      <c r="J40" s="54"/>
      <c r="K40" s="54"/>
      <c r="L40" s="54"/>
      <c r="M40" s="54"/>
    </row>
    <row r="41" spans="3:13" x14ac:dyDescent="0.3">
      <c r="C41" s="54"/>
      <c r="D41" s="54"/>
      <c r="E41" s="54"/>
      <c r="F41" s="54"/>
      <c r="G41" s="54"/>
      <c r="H41" s="54"/>
      <c r="I41" s="54"/>
      <c r="J41" s="54"/>
      <c r="K41" s="54"/>
      <c r="L41" s="54"/>
      <c r="M41" s="54"/>
    </row>
    <row r="42" spans="3:13" x14ac:dyDescent="0.3">
      <c r="C42" s="54"/>
      <c r="D42" s="54"/>
      <c r="E42" s="54"/>
      <c r="F42" s="54"/>
      <c r="G42" s="54"/>
      <c r="H42" s="54"/>
      <c r="I42" s="54"/>
      <c r="J42" s="54"/>
      <c r="K42" s="54"/>
      <c r="L42" s="54"/>
      <c r="M42" s="54"/>
    </row>
    <row r="43" spans="3:13" x14ac:dyDescent="0.3">
      <c r="C43" s="54"/>
      <c r="D43" s="54"/>
      <c r="E43" s="54"/>
      <c r="F43" s="54"/>
      <c r="G43" s="54"/>
      <c r="H43" s="54"/>
      <c r="I43" s="54"/>
      <c r="J43" s="54"/>
      <c r="K43" s="54"/>
      <c r="L43" s="54"/>
      <c r="M43" s="54"/>
    </row>
    <row r="44" spans="3:13" x14ac:dyDescent="0.3">
      <c r="C44" s="54"/>
      <c r="D44" s="54"/>
      <c r="E44" s="54"/>
      <c r="F44" s="54"/>
      <c r="G44" s="54"/>
      <c r="H44" s="54"/>
      <c r="I44" s="54"/>
      <c r="J44" s="54"/>
      <c r="K44" s="54"/>
      <c r="L44" s="54"/>
      <c r="M44" s="54"/>
    </row>
    <row r="45" spans="3:13" x14ac:dyDescent="0.3">
      <c r="C45" s="54"/>
      <c r="D45" s="54"/>
      <c r="E45" s="54"/>
      <c r="F45" s="54"/>
      <c r="G45" s="54"/>
      <c r="H45" s="54"/>
      <c r="I45" s="54"/>
      <c r="J45" s="54"/>
      <c r="K45" s="54"/>
      <c r="L45" s="54"/>
      <c r="M45" s="54"/>
    </row>
    <row r="46" spans="3:13" x14ac:dyDescent="0.3">
      <c r="C46" s="54"/>
      <c r="D46" s="54"/>
      <c r="E46" s="54"/>
      <c r="F46" s="54"/>
      <c r="G46" s="54"/>
      <c r="H46" s="54"/>
      <c r="I46" s="54"/>
      <c r="J46" s="54"/>
      <c r="K46" s="54"/>
      <c r="L46" s="54"/>
      <c r="M46" s="54"/>
    </row>
    <row r="47" spans="3:13" x14ac:dyDescent="0.3">
      <c r="C47" s="54"/>
      <c r="D47" s="54"/>
      <c r="E47" s="54"/>
      <c r="F47" s="54"/>
      <c r="G47" s="54"/>
      <c r="H47" s="54"/>
      <c r="I47" s="54"/>
      <c r="J47" s="54"/>
      <c r="K47" s="54"/>
      <c r="L47" s="54"/>
      <c r="M47" s="54"/>
    </row>
    <row r="48" spans="3:13" x14ac:dyDescent="0.3">
      <c r="C48" s="54"/>
      <c r="D48" s="54"/>
      <c r="E48" s="54"/>
      <c r="F48" s="54"/>
      <c r="G48" s="54"/>
      <c r="H48" s="54"/>
      <c r="I48" s="54"/>
      <c r="J48" s="54"/>
      <c r="K48" s="54"/>
      <c r="L48" s="54"/>
      <c r="M48" s="54"/>
    </row>
    <row r="49" spans="3:13" x14ac:dyDescent="0.3">
      <c r="C49" s="54"/>
      <c r="D49" s="54"/>
      <c r="E49" s="54"/>
      <c r="F49" s="54"/>
      <c r="G49" s="54"/>
      <c r="H49" s="54"/>
      <c r="I49" s="54"/>
      <c r="J49" s="54"/>
      <c r="K49" s="54"/>
      <c r="L49" s="54"/>
      <c r="M49" s="54"/>
    </row>
    <row r="50" spans="3:13" x14ac:dyDescent="0.3">
      <c r="C50" s="54"/>
      <c r="D50" s="54"/>
      <c r="E50" s="54"/>
      <c r="F50" s="54"/>
      <c r="G50" s="54"/>
      <c r="H50" s="54"/>
      <c r="I50" s="54"/>
      <c r="J50" s="54"/>
      <c r="K50" s="54"/>
      <c r="L50" s="54"/>
      <c r="M50" s="54"/>
    </row>
    <row r="51" spans="3:13" x14ac:dyDescent="0.3">
      <c r="C51" s="54"/>
      <c r="D51" s="54"/>
      <c r="E51" s="54"/>
      <c r="F51" s="54"/>
      <c r="G51" s="54"/>
      <c r="H51" s="54"/>
      <c r="I51" s="54"/>
      <c r="J51" s="54"/>
      <c r="K51" s="54"/>
      <c r="L51" s="54"/>
      <c r="M51" s="54"/>
    </row>
    <row r="52" spans="3:13" x14ac:dyDescent="0.3">
      <c r="C52" s="54"/>
      <c r="D52" s="54"/>
      <c r="E52" s="54"/>
      <c r="F52" s="54"/>
      <c r="G52" s="54"/>
      <c r="H52" s="54"/>
      <c r="I52" s="54"/>
      <c r="J52" s="54"/>
      <c r="K52" s="54"/>
      <c r="L52" s="54"/>
      <c r="M52" s="54"/>
    </row>
    <row r="53" spans="3:13" x14ac:dyDescent="0.3">
      <c r="C53" s="54"/>
      <c r="D53" s="54"/>
      <c r="E53" s="54"/>
      <c r="F53" s="54"/>
      <c r="G53" s="54"/>
      <c r="H53" s="54"/>
      <c r="I53" s="54"/>
      <c r="J53" s="54"/>
      <c r="K53" s="54"/>
      <c r="L53" s="54"/>
      <c r="M53" s="54"/>
    </row>
    <row r="54" spans="3:13" x14ac:dyDescent="0.3">
      <c r="C54" s="54"/>
      <c r="D54" s="54"/>
      <c r="E54" s="54"/>
      <c r="F54" s="54"/>
      <c r="G54" s="54"/>
      <c r="H54" s="54"/>
      <c r="I54" s="54"/>
      <c r="J54" s="54"/>
      <c r="K54" s="54"/>
      <c r="L54" s="54"/>
      <c r="M54" s="54"/>
    </row>
    <row r="55" spans="3:13" x14ac:dyDescent="0.3">
      <c r="C55" s="54"/>
      <c r="D55" s="54"/>
      <c r="E55" s="54"/>
      <c r="F55" s="54"/>
      <c r="G55" s="54"/>
      <c r="H55" s="54"/>
      <c r="I55" s="54"/>
      <c r="J55" s="54"/>
      <c r="K55" s="54"/>
      <c r="L55" s="54"/>
      <c r="M55" s="54"/>
    </row>
    <row r="56" spans="3:13" x14ac:dyDescent="0.3">
      <c r="C56" s="54"/>
      <c r="D56" s="54"/>
      <c r="E56" s="54"/>
      <c r="F56" s="54"/>
      <c r="G56" s="54"/>
      <c r="H56" s="54"/>
      <c r="I56" s="54"/>
      <c r="J56" s="54"/>
      <c r="K56" s="54"/>
      <c r="L56" s="54"/>
      <c r="M56" s="54"/>
    </row>
    <row r="57" spans="3:13" x14ac:dyDescent="0.3">
      <c r="C57" s="54"/>
      <c r="D57" s="54"/>
      <c r="E57" s="54"/>
      <c r="F57" s="54"/>
      <c r="G57" s="54"/>
      <c r="H57" s="54"/>
      <c r="I57" s="54"/>
      <c r="J57" s="54"/>
      <c r="K57" s="54"/>
      <c r="L57" s="54"/>
      <c r="M57" s="54"/>
    </row>
    <row r="58" spans="3:13" x14ac:dyDescent="0.3">
      <c r="C58" s="54"/>
      <c r="D58" s="54"/>
      <c r="E58" s="54"/>
      <c r="F58" s="54"/>
      <c r="G58" s="54"/>
      <c r="H58" s="54"/>
      <c r="I58" s="54"/>
      <c r="J58" s="54"/>
      <c r="K58" s="54"/>
      <c r="L58" s="54"/>
      <c r="M58" s="54"/>
    </row>
    <row r="59" spans="3:13" x14ac:dyDescent="0.3">
      <c r="C59" s="54"/>
      <c r="D59" s="54"/>
      <c r="E59" s="54"/>
      <c r="F59" s="54"/>
      <c r="G59" s="54"/>
      <c r="H59" s="54"/>
      <c r="I59" s="54"/>
      <c r="J59" s="54"/>
      <c r="K59" s="54"/>
      <c r="L59" s="54"/>
      <c r="M59" s="54"/>
    </row>
    <row r="60" spans="3:13" x14ac:dyDescent="0.3">
      <c r="C60" s="54"/>
      <c r="D60" s="54"/>
      <c r="E60" s="54"/>
      <c r="F60" s="54"/>
      <c r="G60" s="54"/>
      <c r="H60" s="54"/>
      <c r="I60" s="54"/>
      <c r="J60" s="54"/>
      <c r="K60" s="54"/>
      <c r="L60" s="54"/>
      <c r="M60" s="54"/>
    </row>
    <row r="61" spans="3:13" x14ac:dyDescent="0.3">
      <c r="C61" s="54"/>
      <c r="D61" s="54"/>
      <c r="E61" s="54"/>
      <c r="F61" s="54"/>
      <c r="G61" s="54"/>
      <c r="H61" s="54"/>
      <c r="I61" s="54"/>
      <c r="J61" s="54"/>
      <c r="K61" s="54"/>
      <c r="L61" s="54"/>
      <c r="M61" s="54"/>
    </row>
    <row r="62" spans="3:13" x14ac:dyDescent="0.3">
      <c r="C62" s="54"/>
      <c r="D62" s="54"/>
      <c r="E62" s="54"/>
      <c r="F62" s="54"/>
      <c r="G62" s="54"/>
      <c r="H62" s="54"/>
      <c r="I62" s="54"/>
      <c r="J62" s="54"/>
      <c r="K62" s="54"/>
      <c r="L62" s="54"/>
      <c r="M62" s="54"/>
    </row>
    <row r="63" spans="3:13" x14ac:dyDescent="0.3">
      <c r="C63" s="54"/>
      <c r="D63" s="54"/>
      <c r="E63" s="54"/>
      <c r="F63" s="54"/>
      <c r="G63" s="54"/>
      <c r="H63" s="54"/>
      <c r="I63" s="54"/>
      <c r="J63" s="54"/>
      <c r="K63" s="54"/>
      <c r="L63" s="54"/>
      <c r="M63" s="54"/>
    </row>
    <row r="64" spans="3:13" x14ac:dyDescent="0.3">
      <c r="C64" s="54"/>
      <c r="D64" s="54"/>
      <c r="E64" s="54"/>
      <c r="F64" s="54"/>
      <c r="G64" s="54"/>
      <c r="H64" s="54"/>
      <c r="I64" s="54"/>
      <c r="J64" s="54"/>
      <c r="K64" s="54"/>
      <c r="L64" s="54"/>
      <c r="M64" s="54"/>
    </row>
    <row r="65" spans="3:13" x14ac:dyDescent="0.3">
      <c r="C65" s="54"/>
      <c r="D65" s="54"/>
      <c r="E65" s="54"/>
      <c r="F65" s="54"/>
      <c r="G65" s="54"/>
      <c r="H65" s="54"/>
      <c r="I65" s="54"/>
      <c r="J65" s="54"/>
      <c r="K65" s="54"/>
      <c r="L65" s="54"/>
      <c r="M65" s="54"/>
    </row>
    <row r="66" spans="3:13" x14ac:dyDescent="0.3">
      <c r="C66" s="54"/>
      <c r="D66" s="54"/>
      <c r="E66" s="54"/>
      <c r="F66" s="54"/>
      <c r="G66" s="54"/>
      <c r="H66" s="54"/>
      <c r="I66" s="54"/>
      <c r="J66" s="54"/>
      <c r="K66" s="54"/>
      <c r="L66" s="54"/>
      <c r="M66" s="54"/>
    </row>
    <row r="67" spans="3:13" x14ac:dyDescent="0.3">
      <c r="C67" s="54"/>
      <c r="D67" s="54"/>
      <c r="E67" s="54"/>
      <c r="F67" s="54"/>
      <c r="G67" s="54"/>
      <c r="H67" s="54"/>
      <c r="I67" s="54"/>
      <c r="J67" s="54"/>
      <c r="K67" s="54"/>
      <c r="L67" s="54"/>
      <c r="M67" s="54"/>
    </row>
    <row r="68" spans="3:13" x14ac:dyDescent="0.3">
      <c r="C68" s="54"/>
      <c r="D68" s="54"/>
      <c r="E68" s="54"/>
      <c r="F68" s="54"/>
      <c r="G68" s="54"/>
      <c r="H68" s="54"/>
      <c r="I68" s="54"/>
      <c r="J68" s="54"/>
      <c r="K68" s="54"/>
      <c r="L68" s="54"/>
      <c r="M68" s="54"/>
    </row>
    <row r="69" spans="3:13" x14ac:dyDescent="0.3">
      <c r="C69" s="54"/>
      <c r="D69" s="54"/>
      <c r="E69" s="54"/>
      <c r="F69" s="54"/>
      <c r="G69" s="54"/>
      <c r="H69" s="54"/>
      <c r="I69" s="54"/>
      <c r="J69" s="54"/>
      <c r="K69" s="54"/>
      <c r="L69" s="54"/>
      <c r="M69" s="54"/>
    </row>
    <row r="70" spans="3:13" x14ac:dyDescent="0.3">
      <c r="C70" s="54"/>
      <c r="D70" s="54"/>
      <c r="E70" s="54"/>
      <c r="F70" s="54"/>
      <c r="G70" s="54"/>
      <c r="H70" s="54"/>
      <c r="I70" s="54"/>
      <c r="J70" s="54"/>
      <c r="K70" s="54"/>
      <c r="L70" s="54"/>
      <c r="M70" s="54"/>
    </row>
    <row r="71" spans="3:13" x14ac:dyDescent="0.3">
      <c r="C71" s="54"/>
      <c r="D71" s="54"/>
      <c r="E71" s="54"/>
      <c r="F71" s="54"/>
      <c r="G71" s="54"/>
      <c r="H71" s="54"/>
      <c r="I71" s="54"/>
      <c r="J71" s="54"/>
      <c r="K71" s="54"/>
      <c r="L71" s="54"/>
      <c r="M71" s="54"/>
    </row>
    <row r="72" spans="3:13" x14ac:dyDescent="0.3">
      <c r="C72" s="54"/>
      <c r="D72" s="54"/>
      <c r="E72" s="54"/>
      <c r="F72" s="54"/>
      <c r="G72" s="54"/>
      <c r="H72" s="54"/>
      <c r="I72" s="54"/>
      <c r="J72" s="54"/>
      <c r="K72" s="54"/>
      <c r="L72" s="54"/>
      <c r="M72" s="54"/>
    </row>
    <row r="73" spans="3:13" x14ac:dyDescent="0.3">
      <c r="C73" s="54"/>
      <c r="D73" s="54"/>
      <c r="E73" s="54"/>
      <c r="F73" s="54"/>
      <c r="G73" s="54"/>
      <c r="H73" s="54"/>
      <c r="I73" s="54"/>
      <c r="J73" s="54"/>
      <c r="K73" s="54"/>
      <c r="L73" s="54"/>
      <c r="M73" s="54"/>
    </row>
    <row r="74" spans="3:13" x14ac:dyDescent="0.3">
      <c r="C74" s="54"/>
      <c r="D74" s="54"/>
      <c r="E74" s="54"/>
      <c r="F74" s="54"/>
      <c r="G74" s="54"/>
      <c r="H74" s="54"/>
      <c r="I74" s="54"/>
      <c r="J74" s="54"/>
      <c r="K74" s="54"/>
      <c r="L74" s="54"/>
      <c r="M74" s="54"/>
    </row>
    <row r="75" spans="3:13" x14ac:dyDescent="0.3">
      <c r="C75" s="54"/>
      <c r="D75" s="54"/>
      <c r="E75" s="54"/>
      <c r="F75" s="54"/>
      <c r="G75" s="54"/>
      <c r="H75" s="54"/>
      <c r="I75" s="54"/>
      <c r="J75" s="54"/>
      <c r="K75" s="54"/>
      <c r="L75" s="54"/>
      <c r="M75" s="54"/>
    </row>
    <row r="76" spans="3:13" x14ac:dyDescent="0.3">
      <c r="C76" s="54"/>
      <c r="D76" s="54"/>
      <c r="E76" s="54"/>
      <c r="F76" s="54"/>
      <c r="G76" s="54"/>
      <c r="H76" s="54"/>
      <c r="I76" s="54"/>
      <c r="J76" s="54"/>
      <c r="K76" s="54"/>
      <c r="L76" s="54"/>
      <c r="M76" s="54"/>
    </row>
    <row r="77" spans="3:13" x14ac:dyDescent="0.3">
      <c r="C77" s="54"/>
      <c r="D77" s="54"/>
      <c r="E77" s="54"/>
      <c r="F77" s="54"/>
      <c r="G77" s="54"/>
      <c r="H77" s="54"/>
      <c r="I77" s="54"/>
      <c r="J77" s="54"/>
      <c r="K77" s="54"/>
      <c r="L77" s="54"/>
      <c r="M77" s="54"/>
    </row>
    <row r="78" spans="3:13" x14ac:dyDescent="0.3">
      <c r="C78" s="54"/>
      <c r="D78" s="54"/>
      <c r="E78" s="54"/>
      <c r="F78" s="54"/>
      <c r="G78" s="54"/>
      <c r="H78" s="54"/>
      <c r="I78" s="54"/>
      <c r="J78" s="54"/>
      <c r="K78" s="54"/>
      <c r="L78" s="54"/>
      <c r="M78" s="54"/>
    </row>
    <row r="79" spans="3:13" x14ac:dyDescent="0.3">
      <c r="C79" s="54"/>
      <c r="D79" s="54"/>
      <c r="E79" s="54"/>
      <c r="F79" s="54"/>
      <c r="G79" s="54"/>
      <c r="H79" s="54"/>
      <c r="I79" s="54"/>
      <c r="J79" s="54"/>
      <c r="K79" s="54"/>
      <c r="L79" s="54"/>
      <c r="M79" s="54"/>
    </row>
    <row r="80" spans="3:13" x14ac:dyDescent="0.3">
      <c r="C80" s="54"/>
      <c r="D80" s="54"/>
      <c r="E80" s="54"/>
      <c r="F80" s="54"/>
      <c r="G80" s="54"/>
      <c r="H80" s="54"/>
      <c r="I80" s="54"/>
      <c r="J80" s="54"/>
      <c r="K80" s="54"/>
      <c r="L80" s="54"/>
      <c r="M80" s="54"/>
    </row>
    <row r="81" spans="3:13" x14ac:dyDescent="0.3">
      <c r="C81" s="54"/>
      <c r="D81" s="54"/>
      <c r="E81" s="54"/>
      <c r="F81" s="54"/>
      <c r="G81" s="54"/>
      <c r="H81" s="54"/>
      <c r="I81" s="54"/>
      <c r="J81" s="54"/>
      <c r="K81" s="54"/>
      <c r="L81" s="54"/>
      <c r="M81" s="54"/>
    </row>
    <row r="82" spans="3:13" x14ac:dyDescent="0.3">
      <c r="C82" s="54"/>
      <c r="D82" s="54"/>
      <c r="E82" s="54"/>
      <c r="F82" s="54"/>
      <c r="G82" s="54"/>
      <c r="H82" s="54"/>
      <c r="I82" s="54"/>
      <c r="J82" s="54"/>
      <c r="K82" s="54"/>
      <c r="L82" s="54"/>
      <c r="M82" s="54"/>
    </row>
    <row r="83" spans="3:13" x14ac:dyDescent="0.3">
      <c r="C83" s="54"/>
      <c r="D83" s="54"/>
      <c r="E83" s="54"/>
      <c r="F83" s="54"/>
      <c r="G83" s="54"/>
      <c r="H83" s="54"/>
      <c r="I83" s="54"/>
      <c r="J83" s="54"/>
      <c r="K83" s="54"/>
      <c r="L83" s="54"/>
      <c r="M83" s="54"/>
    </row>
    <row r="84" spans="3:13" x14ac:dyDescent="0.3">
      <c r="C84" s="54"/>
      <c r="D84" s="54"/>
      <c r="E84" s="54"/>
      <c r="F84" s="54"/>
      <c r="G84" s="54"/>
      <c r="H84" s="54"/>
      <c r="I84" s="54"/>
      <c r="J84" s="54"/>
      <c r="K84" s="54"/>
      <c r="L84" s="54"/>
      <c r="M84" s="54"/>
    </row>
    <row r="85" spans="3:13" x14ac:dyDescent="0.3">
      <c r="C85" s="54"/>
      <c r="D85" s="54"/>
      <c r="E85" s="54"/>
      <c r="F85" s="54"/>
      <c r="G85" s="54"/>
      <c r="H85" s="54"/>
      <c r="I85" s="54"/>
      <c r="J85" s="54"/>
      <c r="K85" s="54"/>
      <c r="L85" s="54"/>
      <c r="M85" s="54"/>
    </row>
    <row r="86" spans="3:13" x14ac:dyDescent="0.3">
      <c r="C86" s="54"/>
      <c r="D86" s="54"/>
      <c r="E86" s="54"/>
      <c r="F86" s="54"/>
      <c r="G86" s="54"/>
      <c r="H86" s="54"/>
      <c r="I86" s="54"/>
      <c r="J86" s="54"/>
      <c r="K86" s="54"/>
      <c r="L86" s="54"/>
      <c r="M86" s="54"/>
    </row>
    <row r="87" spans="3:13" x14ac:dyDescent="0.3">
      <c r="C87" s="54"/>
      <c r="D87" s="54"/>
      <c r="E87" s="54"/>
      <c r="F87" s="54"/>
      <c r="G87" s="54"/>
      <c r="H87" s="54"/>
      <c r="I87" s="54"/>
      <c r="J87" s="54"/>
      <c r="K87" s="54"/>
      <c r="L87" s="54"/>
      <c r="M87" s="54"/>
    </row>
    <row r="88" spans="3:13" x14ac:dyDescent="0.3">
      <c r="C88" s="54"/>
      <c r="D88" s="54"/>
      <c r="E88" s="54"/>
      <c r="F88" s="54"/>
      <c r="G88" s="54"/>
      <c r="H88" s="54"/>
      <c r="I88" s="54"/>
      <c r="J88" s="54"/>
      <c r="K88" s="54"/>
      <c r="L88" s="54"/>
      <c r="M88" s="54"/>
    </row>
    <row r="89" spans="3:13" x14ac:dyDescent="0.3">
      <c r="C89" s="54"/>
      <c r="D89" s="54"/>
      <c r="E89" s="54"/>
      <c r="F89" s="54"/>
      <c r="G89" s="54"/>
      <c r="H89" s="54"/>
      <c r="I89" s="54"/>
      <c r="J89" s="54"/>
      <c r="K89" s="54"/>
      <c r="L89" s="54"/>
      <c r="M89" s="54"/>
    </row>
    <row r="90" spans="3:13" x14ac:dyDescent="0.3">
      <c r="C90" s="54"/>
      <c r="D90" s="54"/>
      <c r="E90" s="54"/>
      <c r="F90" s="54"/>
      <c r="G90" s="54"/>
      <c r="H90" s="54"/>
      <c r="I90" s="54"/>
      <c r="J90" s="54"/>
      <c r="K90" s="54"/>
      <c r="L90" s="54"/>
      <c r="M90" s="54"/>
    </row>
    <row r="91" spans="3:13" x14ac:dyDescent="0.3">
      <c r="C91" s="54"/>
      <c r="D91" s="54"/>
      <c r="E91" s="54"/>
      <c r="F91" s="54"/>
      <c r="G91" s="54"/>
      <c r="H91" s="54"/>
      <c r="I91" s="54"/>
      <c r="J91" s="54"/>
      <c r="K91" s="54"/>
      <c r="L91" s="54"/>
      <c r="M91" s="54"/>
    </row>
    <row r="92" spans="3:13" x14ac:dyDescent="0.3">
      <c r="C92" s="54"/>
      <c r="D92" s="54"/>
      <c r="E92" s="54"/>
      <c r="F92" s="54"/>
      <c r="G92" s="54"/>
      <c r="H92" s="54"/>
      <c r="I92" s="54"/>
      <c r="J92" s="54"/>
      <c r="K92" s="54"/>
      <c r="L92" s="54"/>
      <c r="M92" s="54"/>
    </row>
    <row r="93" spans="3:13" x14ac:dyDescent="0.3">
      <c r="C93" s="54"/>
      <c r="D93" s="54"/>
      <c r="E93" s="54"/>
      <c r="F93" s="54"/>
      <c r="G93" s="54"/>
      <c r="H93" s="54"/>
      <c r="I93" s="54"/>
      <c r="J93" s="54"/>
      <c r="K93" s="54"/>
      <c r="L93" s="54"/>
      <c r="M93" s="54"/>
    </row>
    <row r="94" spans="3:13" x14ac:dyDescent="0.3">
      <c r="C94" s="54"/>
      <c r="D94" s="54"/>
      <c r="E94" s="54"/>
      <c r="F94" s="54"/>
      <c r="G94" s="54"/>
      <c r="H94" s="54"/>
      <c r="I94" s="54"/>
      <c r="J94" s="54"/>
      <c r="K94" s="54"/>
      <c r="L94" s="54"/>
      <c r="M94" s="54"/>
    </row>
    <row r="95" spans="3:13" x14ac:dyDescent="0.3">
      <c r="C95" s="54"/>
      <c r="D95" s="54"/>
      <c r="E95" s="54"/>
      <c r="F95" s="54"/>
      <c r="G95" s="54"/>
      <c r="H95" s="54"/>
      <c r="I95" s="54"/>
      <c r="J95" s="54"/>
      <c r="K95" s="54"/>
      <c r="L95" s="54"/>
      <c r="M95" s="54"/>
    </row>
    <row r="96" spans="3:13" x14ac:dyDescent="0.3">
      <c r="C96" s="54"/>
      <c r="D96" s="54"/>
      <c r="E96" s="54"/>
      <c r="F96" s="54"/>
      <c r="G96" s="54"/>
      <c r="H96" s="54"/>
      <c r="I96" s="54"/>
      <c r="J96" s="54"/>
      <c r="K96" s="54"/>
      <c r="L96" s="54"/>
      <c r="M96" s="54"/>
    </row>
    <row r="97" spans="3:13" x14ac:dyDescent="0.3">
      <c r="C97" s="54"/>
      <c r="D97" s="54"/>
      <c r="E97" s="54"/>
      <c r="F97" s="54"/>
      <c r="G97" s="54"/>
      <c r="H97" s="54"/>
      <c r="I97" s="54"/>
      <c r="J97" s="54"/>
      <c r="K97" s="54"/>
      <c r="L97" s="54"/>
      <c r="M97" s="54"/>
    </row>
    <row r="98" spans="3:13" x14ac:dyDescent="0.3">
      <c r="C98" s="54"/>
      <c r="D98" s="54"/>
      <c r="E98" s="54"/>
      <c r="F98" s="54"/>
      <c r="G98" s="54"/>
      <c r="H98" s="54"/>
      <c r="I98" s="54"/>
      <c r="J98" s="54"/>
      <c r="K98" s="54"/>
      <c r="L98" s="54"/>
      <c r="M98" s="54"/>
    </row>
    <row r="99" spans="3:13" x14ac:dyDescent="0.3">
      <c r="C99" s="54"/>
      <c r="D99" s="54"/>
      <c r="E99" s="54"/>
      <c r="F99" s="54"/>
      <c r="G99" s="54"/>
      <c r="H99" s="54"/>
      <c r="I99" s="54"/>
      <c r="J99" s="54"/>
      <c r="K99" s="54"/>
      <c r="L99" s="54"/>
      <c r="M99" s="54"/>
    </row>
    <row r="100" spans="3:13" x14ac:dyDescent="0.3">
      <c r="C100" s="54"/>
      <c r="D100" s="54"/>
      <c r="E100" s="54"/>
      <c r="F100" s="54"/>
      <c r="G100" s="54"/>
      <c r="H100" s="54"/>
      <c r="I100" s="54"/>
      <c r="J100" s="54"/>
      <c r="K100" s="54"/>
      <c r="L100" s="54"/>
      <c r="M100" s="54"/>
    </row>
    <row r="101" spans="3:13" x14ac:dyDescent="0.3">
      <c r="C101" s="54"/>
      <c r="D101" s="54"/>
      <c r="E101" s="54"/>
      <c r="F101" s="54"/>
      <c r="G101" s="54"/>
      <c r="H101" s="54"/>
      <c r="I101" s="54"/>
      <c r="J101" s="54"/>
      <c r="K101" s="54"/>
      <c r="L101" s="54"/>
      <c r="M101" s="54"/>
    </row>
    <row r="102" spans="3:13" x14ac:dyDescent="0.3">
      <c r="C102" s="54"/>
      <c r="D102" s="54"/>
      <c r="E102" s="54"/>
      <c r="F102" s="54"/>
      <c r="G102" s="54"/>
      <c r="H102" s="54"/>
      <c r="I102" s="54"/>
      <c r="J102" s="54"/>
      <c r="K102" s="54"/>
      <c r="L102" s="54"/>
      <c r="M102" s="54"/>
    </row>
    <row r="103" spans="3:13" x14ac:dyDescent="0.3">
      <c r="C103" s="54"/>
      <c r="D103" s="54"/>
      <c r="E103" s="54"/>
      <c r="F103" s="54"/>
      <c r="G103" s="54"/>
      <c r="H103" s="54"/>
      <c r="I103" s="54"/>
      <c r="J103" s="54"/>
      <c r="K103" s="54"/>
      <c r="L103" s="54"/>
      <c r="M103" s="54"/>
    </row>
    <row r="104" spans="3:13" x14ac:dyDescent="0.3">
      <c r="C104" s="54"/>
      <c r="D104" s="54"/>
      <c r="E104" s="54"/>
      <c r="F104" s="54"/>
      <c r="G104" s="54"/>
      <c r="H104" s="54"/>
      <c r="I104" s="54"/>
      <c r="J104" s="54"/>
      <c r="K104" s="54"/>
      <c r="L104" s="54"/>
      <c r="M104" s="54"/>
    </row>
    <row r="105" spans="3:13" x14ac:dyDescent="0.3">
      <c r="C105" s="54"/>
      <c r="D105" s="54"/>
      <c r="E105" s="54"/>
      <c r="F105" s="54"/>
      <c r="G105" s="54"/>
      <c r="H105" s="54"/>
      <c r="I105" s="54"/>
      <c r="J105" s="54"/>
      <c r="K105" s="54"/>
      <c r="L105" s="54"/>
      <c r="M105" s="54"/>
    </row>
    <row r="106" spans="3:13" x14ac:dyDescent="0.3">
      <c r="C106" s="54"/>
      <c r="D106" s="54"/>
      <c r="E106" s="54"/>
      <c r="F106" s="54"/>
      <c r="G106" s="54"/>
      <c r="H106" s="54"/>
      <c r="I106" s="54"/>
      <c r="J106" s="54"/>
      <c r="K106" s="54"/>
      <c r="L106" s="54"/>
      <c r="M106" s="54"/>
    </row>
    <row r="107" spans="3:13" x14ac:dyDescent="0.3">
      <c r="C107" s="54"/>
      <c r="D107" s="54"/>
      <c r="E107" s="54"/>
      <c r="F107" s="54"/>
      <c r="G107" s="54"/>
      <c r="H107" s="54"/>
      <c r="I107" s="54"/>
      <c r="J107" s="54"/>
      <c r="K107" s="54"/>
      <c r="L107" s="54"/>
      <c r="M107" s="54"/>
    </row>
    <row r="108" spans="3:13" x14ac:dyDescent="0.3">
      <c r="C108" s="54"/>
      <c r="D108" s="54"/>
      <c r="E108" s="54"/>
      <c r="F108" s="54"/>
      <c r="G108" s="54"/>
      <c r="H108" s="54"/>
      <c r="I108" s="54"/>
      <c r="J108" s="54"/>
      <c r="K108" s="54"/>
      <c r="L108" s="54"/>
      <c r="M108" s="54"/>
    </row>
    <row r="109" spans="3:13" x14ac:dyDescent="0.3">
      <c r="C109" s="54"/>
      <c r="D109" s="54"/>
      <c r="E109" s="54"/>
      <c r="F109" s="54"/>
      <c r="G109" s="54"/>
      <c r="H109" s="54"/>
      <c r="I109" s="54"/>
      <c r="J109" s="54"/>
      <c r="K109" s="54"/>
      <c r="L109" s="54"/>
      <c r="M109" s="54"/>
    </row>
    <row r="110" spans="3:13" x14ac:dyDescent="0.3">
      <c r="C110" s="54"/>
      <c r="D110" s="54"/>
      <c r="E110" s="54"/>
      <c r="F110" s="54"/>
      <c r="G110" s="54"/>
      <c r="H110" s="54"/>
      <c r="I110" s="54"/>
      <c r="J110" s="54"/>
      <c r="K110" s="54"/>
      <c r="L110" s="54"/>
      <c r="M110" s="54"/>
    </row>
    <row r="111" spans="3:13" x14ac:dyDescent="0.3">
      <c r="C111" s="54"/>
      <c r="D111" s="54"/>
      <c r="E111" s="54"/>
      <c r="F111" s="54"/>
      <c r="G111" s="54"/>
      <c r="H111" s="54"/>
      <c r="I111" s="54"/>
      <c r="J111" s="54"/>
      <c r="K111" s="54"/>
      <c r="L111" s="54"/>
      <c r="M111" s="54"/>
    </row>
    <row r="112" spans="3:13" x14ac:dyDescent="0.3">
      <c r="C112" s="54"/>
      <c r="D112" s="54"/>
      <c r="E112" s="54"/>
      <c r="F112" s="54"/>
      <c r="G112" s="54"/>
      <c r="H112" s="54"/>
      <c r="I112" s="54"/>
      <c r="J112" s="54"/>
      <c r="K112" s="54"/>
      <c r="L112" s="54"/>
      <c r="M112" s="54"/>
    </row>
    <row r="113" spans="3:13" x14ac:dyDescent="0.3">
      <c r="C113" s="54"/>
      <c r="D113" s="54"/>
      <c r="E113" s="54"/>
      <c r="F113" s="54"/>
      <c r="G113" s="54"/>
      <c r="H113" s="54"/>
      <c r="I113" s="54"/>
      <c r="J113" s="54"/>
      <c r="K113" s="54"/>
      <c r="L113" s="54"/>
      <c r="M113" s="54"/>
    </row>
    <row r="114" spans="3:13" x14ac:dyDescent="0.3">
      <c r="C114" s="54"/>
      <c r="D114" s="54"/>
      <c r="E114" s="54"/>
      <c r="F114" s="54"/>
      <c r="G114" s="54"/>
      <c r="H114" s="54"/>
      <c r="I114" s="54"/>
      <c r="J114" s="54"/>
      <c r="K114" s="54"/>
      <c r="L114" s="54"/>
      <c r="M114" s="54"/>
    </row>
    <row r="115" spans="3:13" x14ac:dyDescent="0.3">
      <c r="C115" s="54"/>
      <c r="D115" s="54"/>
      <c r="E115" s="54"/>
      <c r="F115" s="54"/>
      <c r="G115" s="54"/>
      <c r="H115" s="54"/>
      <c r="I115" s="54"/>
      <c r="J115" s="54"/>
      <c r="K115" s="54"/>
      <c r="L115" s="54"/>
      <c r="M115" s="54"/>
    </row>
    <row r="116" spans="3:13" x14ac:dyDescent="0.3">
      <c r="C116" s="54"/>
      <c r="D116" s="54"/>
      <c r="E116" s="54"/>
      <c r="F116" s="54"/>
      <c r="G116" s="54"/>
      <c r="H116" s="54"/>
      <c r="I116" s="54"/>
      <c r="J116" s="54"/>
      <c r="K116" s="54"/>
      <c r="L116" s="54"/>
      <c r="M116" s="54"/>
    </row>
    <row r="117" spans="3:13" x14ac:dyDescent="0.3">
      <c r="C117" s="54"/>
      <c r="D117" s="54"/>
      <c r="E117" s="54"/>
      <c r="F117" s="54"/>
      <c r="G117" s="54"/>
      <c r="H117" s="54"/>
      <c r="I117" s="54"/>
      <c r="J117" s="54"/>
      <c r="K117" s="54"/>
      <c r="L117" s="54"/>
      <c r="M117" s="54"/>
    </row>
    <row r="118" spans="3:13" x14ac:dyDescent="0.3">
      <c r="C118" s="54"/>
      <c r="D118" s="54"/>
      <c r="E118" s="54"/>
      <c r="F118" s="54"/>
      <c r="G118" s="54"/>
      <c r="H118" s="54"/>
      <c r="I118" s="54"/>
      <c r="J118" s="54"/>
      <c r="K118" s="54"/>
      <c r="L118" s="54"/>
      <c r="M118" s="54"/>
    </row>
    <row r="119" spans="3:13" x14ac:dyDescent="0.3">
      <c r="C119" s="54"/>
      <c r="D119" s="54"/>
      <c r="E119" s="54"/>
      <c r="F119" s="54"/>
      <c r="G119" s="54"/>
      <c r="H119" s="54"/>
      <c r="I119" s="54"/>
      <c r="J119" s="54"/>
      <c r="K119" s="54"/>
      <c r="L119" s="54"/>
      <c r="M119" s="54"/>
    </row>
    <row r="120" spans="3:13" x14ac:dyDescent="0.3">
      <c r="C120" s="54"/>
      <c r="D120" s="54"/>
      <c r="E120" s="54"/>
      <c r="F120" s="54"/>
      <c r="G120" s="54"/>
      <c r="H120" s="54"/>
      <c r="I120" s="54"/>
      <c r="J120" s="54"/>
      <c r="K120" s="54"/>
      <c r="L120" s="54"/>
      <c r="M120" s="54"/>
    </row>
    <row r="121" spans="3:13" x14ac:dyDescent="0.3">
      <c r="C121" s="54"/>
      <c r="D121" s="54"/>
      <c r="E121" s="54"/>
      <c r="F121" s="54"/>
      <c r="G121" s="54"/>
      <c r="H121" s="54"/>
      <c r="I121" s="54"/>
      <c r="J121" s="54"/>
      <c r="K121" s="54"/>
      <c r="L121" s="54"/>
      <c r="M121" s="54"/>
    </row>
    <row r="122" spans="3:13" x14ac:dyDescent="0.3">
      <c r="C122" s="54"/>
      <c r="D122" s="54"/>
      <c r="E122" s="54"/>
      <c r="F122" s="54"/>
      <c r="G122" s="54"/>
      <c r="H122" s="54"/>
      <c r="I122" s="54"/>
      <c r="J122" s="54"/>
      <c r="K122" s="54"/>
      <c r="L122" s="54"/>
      <c r="M122" s="54"/>
    </row>
    <row r="123" spans="3:13" x14ac:dyDescent="0.3">
      <c r="C123" s="54"/>
      <c r="D123" s="54"/>
      <c r="E123" s="54"/>
      <c r="F123" s="54"/>
      <c r="G123" s="54"/>
      <c r="H123" s="54"/>
      <c r="I123" s="54"/>
      <c r="J123" s="54"/>
      <c r="K123" s="54"/>
      <c r="L123" s="54"/>
      <c r="M123" s="54"/>
    </row>
    <row r="124" spans="3:13" x14ac:dyDescent="0.3">
      <c r="C124" s="54"/>
      <c r="D124" s="54"/>
      <c r="E124" s="54"/>
      <c r="F124" s="54"/>
      <c r="G124" s="54"/>
      <c r="H124" s="54"/>
      <c r="I124" s="54"/>
      <c r="J124" s="54"/>
      <c r="K124" s="54"/>
      <c r="L124" s="54"/>
      <c r="M124" s="54"/>
    </row>
    <row r="125" spans="3:13" x14ac:dyDescent="0.3">
      <c r="C125" s="54"/>
      <c r="D125" s="54"/>
      <c r="E125" s="54"/>
      <c r="F125" s="54"/>
      <c r="G125" s="54"/>
      <c r="H125" s="54"/>
      <c r="I125" s="54"/>
      <c r="J125" s="54"/>
      <c r="K125" s="54"/>
      <c r="L125" s="54"/>
      <c r="M125" s="54"/>
    </row>
    <row r="126" spans="3:13" x14ac:dyDescent="0.3">
      <c r="C126" s="54"/>
      <c r="D126" s="54"/>
      <c r="E126" s="54"/>
      <c r="F126" s="54"/>
      <c r="G126" s="54"/>
      <c r="H126" s="54"/>
      <c r="I126" s="54"/>
      <c r="J126" s="54"/>
      <c r="K126" s="54"/>
      <c r="L126" s="54"/>
      <c r="M126" s="54"/>
    </row>
    <row r="127" spans="3:13" x14ac:dyDescent="0.3">
      <c r="C127" s="54"/>
      <c r="D127" s="54"/>
      <c r="E127" s="54"/>
      <c r="F127" s="54"/>
      <c r="G127" s="54"/>
      <c r="H127" s="54"/>
      <c r="I127" s="54"/>
      <c r="J127" s="54"/>
      <c r="K127" s="54"/>
      <c r="L127" s="54"/>
      <c r="M127" s="54"/>
    </row>
    <row r="128" spans="3:13" x14ac:dyDescent="0.3">
      <c r="C128" s="54"/>
      <c r="D128" s="54"/>
      <c r="E128" s="54"/>
      <c r="F128" s="54"/>
      <c r="G128" s="54"/>
      <c r="H128" s="54"/>
      <c r="I128" s="54"/>
      <c r="J128" s="54"/>
      <c r="K128" s="54"/>
      <c r="L128" s="54"/>
      <c r="M128" s="54"/>
    </row>
    <row r="129" spans="3:13" x14ac:dyDescent="0.3">
      <c r="C129" s="54"/>
      <c r="D129" s="54"/>
      <c r="E129" s="54"/>
      <c r="F129" s="54"/>
      <c r="G129" s="54"/>
      <c r="H129" s="54"/>
      <c r="I129" s="54"/>
      <c r="J129" s="54"/>
      <c r="K129" s="54"/>
      <c r="L129" s="54"/>
      <c r="M129" s="54"/>
    </row>
    <row r="130" spans="3:13" x14ac:dyDescent="0.3">
      <c r="C130" s="54"/>
      <c r="D130" s="54"/>
      <c r="E130" s="54"/>
      <c r="F130" s="54"/>
      <c r="G130" s="54"/>
      <c r="H130" s="54"/>
      <c r="I130" s="54"/>
      <c r="J130" s="54"/>
      <c r="K130" s="54"/>
      <c r="L130" s="54"/>
      <c r="M130" s="54"/>
    </row>
    <row r="131" spans="3:13" x14ac:dyDescent="0.3">
      <c r="C131" s="54"/>
      <c r="D131" s="54"/>
      <c r="E131" s="54"/>
      <c r="F131" s="54"/>
      <c r="G131" s="54"/>
      <c r="H131" s="54"/>
      <c r="I131" s="54"/>
      <c r="J131" s="54"/>
      <c r="K131" s="54"/>
      <c r="L131" s="54"/>
      <c r="M131" s="54"/>
    </row>
    <row r="132" spans="3:13" x14ac:dyDescent="0.3">
      <c r="C132" s="54"/>
      <c r="D132" s="54"/>
      <c r="E132" s="54"/>
      <c r="F132" s="54"/>
      <c r="G132" s="54"/>
      <c r="H132" s="54"/>
      <c r="I132" s="54"/>
      <c r="J132" s="54"/>
      <c r="K132" s="54"/>
      <c r="L132" s="54"/>
      <c r="M132" s="54"/>
    </row>
    <row r="133" spans="3:13" x14ac:dyDescent="0.3">
      <c r="C133" s="54"/>
      <c r="D133" s="54"/>
      <c r="E133" s="54"/>
      <c r="F133" s="54"/>
      <c r="G133" s="54"/>
      <c r="H133" s="54"/>
      <c r="I133" s="54"/>
      <c r="J133" s="54"/>
      <c r="K133" s="54"/>
      <c r="L133" s="54"/>
      <c r="M133" s="54"/>
    </row>
    <row r="134" spans="3:13" x14ac:dyDescent="0.3">
      <c r="C134" s="54"/>
      <c r="D134" s="54"/>
      <c r="E134" s="54"/>
      <c r="F134" s="54"/>
      <c r="G134" s="54"/>
      <c r="H134" s="54"/>
      <c r="I134" s="54"/>
      <c r="J134" s="54"/>
      <c r="K134" s="54"/>
      <c r="L134" s="54"/>
      <c r="M134" s="54"/>
    </row>
    <row r="135" spans="3:13" x14ac:dyDescent="0.3">
      <c r="C135" s="54"/>
      <c r="D135" s="54"/>
      <c r="E135" s="54"/>
      <c r="F135" s="54"/>
      <c r="G135" s="54"/>
      <c r="H135" s="54"/>
      <c r="I135" s="54"/>
      <c r="J135" s="54"/>
      <c r="K135" s="54"/>
      <c r="L135" s="54"/>
      <c r="M135" s="54"/>
    </row>
    <row r="136" spans="3:13" x14ac:dyDescent="0.3">
      <c r="C136" s="54"/>
      <c r="D136" s="54"/>
      <c r="E136" s="54"/>
      <c r="F136" s="54"/>
      <c r="G136" s="54"/>
      <c r="H136" s="54"/>
      <c r="I136" s="54"/>
      <c r="J136" s="54"/>
      <c r="K136" s="54"/>
      <c r="L136" s="54"/>
      <c r="M136" s="54"/>
    </row>
    <row r="137" spans="3:13" x14ac:dyDescent="0.3">
      <c r="C137" s="54"/>
      <c r="D137" s="54"/>
      <c r="E137" s="54"/>
      <c r="F137" s="54"/>
      <c r="G137" s="54"/>
      <c r="H137" s="54"/>
      <c r="I137" s="54"/>
      <c r="J137" s="54"/>
      <c r="K137" s="54"/>
      <c r="L137" s="54"/>
      <c r="M137" s="54"/>
    </row>
    <row r="138" spans="3:13" x14ac:dyDescent="0.3">
      <c r="C138" s="54"/>
      <c r="D138" s="54"/>
      <c r="E138" s="54"/>
      <c r="F138" s="54"/>
      <c r="G138" s="54"/>
      <c r="H138" s="54"/>
      <c r="I138" s="54"/>
      <c r="J138" s="54"/>
      <c r="K138" s="54"/>
      <c r="L138" s="54"/>
      <c r="M138" s="54"/>
    </row>
    <row r="139" spans="3:13" x14ac:dyDescent="0.3">
      <c r="C139" s="54"/>
      <c r="D139" s="54"/>
      <c r="E139" s="54"/>
      <c r="F139" s="54"/>
      <c r="G139" s="54"/>
      <c r="H139" s="54"/>
      <c r="I139" s="54"/>
      <c r="J139" s="54"/>
      <c r="K139" s="54"/>
      <c r="L139" s="54"/>
      <c r="M139" s="54"/>
    </row>
    <row r="140" spans="3:13" x14ac:dyDescent="0.3">
      <c r="C140" s="54"/>
      <c r="D140" s="54"/>
      <c r="E140" s="54"/>
      <c r="F140" s="54"/>
      <c r="G140" s="54"/>
      <c r="H140" s="54"/>
      <c r="I140" s="54"/>
      <c r="J140" s="54"/>
      <c r="K140" s="54"/>
      <c r="L140" s="54"/>
      <c r="M140" s="54"/>
    </row>
    <row r="141" spans="3:13" x14ac:dyDescent="0.3">
      <c r="C141" s="54"/>
      <c r="D141" s="54"/>
      <c r="E141" s="54"/>
      <c r="F141" s="54"/>
      <c r="G141" s="54"/>
      <c r="H141" s="54"/>
      <c r="I141" s="54"/>
      <c r="J141" s="54"/>
      <c r="K141" s="54"/>
      <c r="L141" s="54"/>
      <c r="M141" s="54"/>
    </row>
    <row r="142" spans="3:13" x14ac:dyDescent="0.3">
      <c r="C142" s="54"/>
      <c r="D142" s="54"/>
      <c r="E142" s="54"/>
      <c r="F142" s="54"/>
      <c r="G142" s="54"/>
      <c r="H142" s="54"/>
      <c r="I142" s="54"/>
      <c r="J142" s="54"/>
      <c r="K142" s="54"/>
      <c r="L142" s="54"/>
      <c r="M142" s="54"/>
    </row>
    <row r="143" spans="3:13" x14ac:dyDescent="0.3">
      <c r="C143" s="54"/>
      <c r="D143" s="54"/>
      <c r="E143" s="54"/>
      <c r="F143" s="54"/>
      <c r="G143" s="54"/>
      <c r="H143" s="54"/>
      <c r="I143" s="54"/>
      <c r="J143" s="54"/>
      <c r="K143" s="54"/>
      <c r="L143" s="54"/>
      <c r="M143" s="54"/>
    </row>
    <row r="144" spans="3:13" x14ac:dyDescent="0.3">
      <c r="C144" s="54"/>
      <c r="D144" s="54"/>
      <c r="E144" s="54"/>
      <c r="F144" s="54"/>
      <c r="G144" s="54"/>
      <c r="H144" s="54"/>
      <c r="I144" s="54"/>
      <c r="J144" s="54"/>
      <c r="K144" s="54"/>
      <c r="L144" s="54"/>
      <c r="M144" s="54"/>
    </row>
    <row r="145" spans="3:13" x14ac:dyDescent="0.3">
      <c r="C145" s="54"/>
      <c r="D145" s="54"/>
      <c r="E145" s="54"/>
      <c r="F145" s="54"/>
      <c r="G145" s="54"/>
      <c r="H145" s="54"/>
      <c r="I145" s="54"/>
      <c r="J145" s="54"/>
      <c r="K145" s="54"/>
      <c r="L145" s="54"/>
      <c r="M145" s="54"/>
    </row>
    <row r="146" spans="3:13" x14ac:dyDescent="0.3">
      <c r="C146" s="54"/>
      <c r="D146" s="54"/>
      <c r="E146" s="54"/>
      <c r="F146" s="54"/>
      <c r="G146" s="54"/>
      <c r="H146" s="54"/>
      <c r="I146" s="54"/>
      <c r="J146" s="54"/>
      <c r="K146" s="54"/>
      <c r="L146" s="54"/>
      <c r="M146" s="54"/>
    </row>
    <row r="147" spans="3:13" x14ac:dyDescent="0.3">
      <c r="C147" s="54"/>
      <c r="D147" s="54"/>
      <c r="E147" s="54"/>
      <c r="F147" s="54"/>
      <c r="G147" s="54"/>
      <c r="H147" s="54"/>
      <c r="I147" s="54"/>
      <c r="J147" s="54"/>
      <c r="K147" s="54"/>
      <c r="L147" s="54"/>
      <c r="M147" s="54"/>
    </row>
    <row r="148" spans="3:13" x14ac:dyDescent="0.3">
      <c r="C148" s="54"/>
      <c r="D148" s="54"/>
      <c r="E148" s="54"/>
      <c r="F148" s="54"/>
      <c r="G148" s="54"/>
      <c r="H148" s="54"/>
      <c r="I148" s="54"/>
      <c r="J148" s="54"/>
      <c r="K148" s="54"/>
      <c r="L148" s="54"/>
      <c r="M148" s="54"/>
    </row>
    <row r="149" spans="3:13" x14ac:dyDescent="0.3">
      <c r="C149" s="54"/>
      <c r="D149" s="54"/>
      <c r="E149" s="54"/>
      <c r="F149" s="54"/>
      <c r="G149" s="54"/>
      <c r="H149" s="54"/>
      <c r="I149" s="54"/>
      <c r="J149" s="54"/>
      <c r="K149" s="54"/>
      <c r="L149" s="54"/>
      <c r="M149" s="54"/>
    </row>
    <row r="150" spans="3:13" x14ac:dyDescent="0.3">
      <c r="C150" s="54"/>
      <c r="D150" s="54"/>
      <c r="E150" s="54"/>
      <c r="F150" s="54"/>
      <c r="G150" s="54"/>
      <c r="H150" s="54"/>
      <c r="I150" s="54"/>
      <c r="J150" s="54"/>
      <c r="K150" s="54"/>
      <c r="L150" s="54"/>
      <c r="M150" s="54"/>
    </row>
    <row r="151" spans="3:13" x14ac:dyDescent="0.3">
      <c r="C151" s="54"/>
      <c r="D151" s="54"/>
      <c r="E151" s="54"/>
      <c r="F151" s="54"/>
      <c r="G151" s="54"/>
      <c r="H151" s="54"/>
      <c r="I151" s="54"/>
      <c r="J151" s="54"/>
      <c r="K151" s="54"/>
      <c r="L151" s="54"/>
      <c r="M151" s="54"/>
    </row>
    <row r="152" spans="3:13" x14ac:dyDescent="0.3">
      <c r="C152" s="54"/>
      <c r="D152" s="54"/>
      <c r="E152" s="54"/>
      <c r="F152" s="54"/>
      <c r="G152" s="54"/>
      <c r="H152" s="54"/>
      <c r="I152" s="54"/>
      <c r="J152" s="54"/>
      <c r="K152" s="54"/>
      <c r="L152" s="54"/>
      <c r="M152" s="54"/>
    </row>
    <row r="153" spans="3:13" x14ac:dyDescent="0.3">
      <c r="C153" s="54"/>
      <c r="D153" s="54"/>
      <c r="E153" s="54"/>
      <c r="F153" s="54"/>
      <c r="G153" s="54"/>
      <c r="H153" s="54"/>
      <c r="I153" s="54"/>
      <c r="J153" s="54"/>
      <c r="K153" s="54"/>
      <c r="L153" s="54"/>
      <c r="M153" s="54"/>
    </row>
    <row r="154" spans="3:13" x14ac:dyDescent="0.3">
      <c r="C154" s="54"/>
      <c r="D154" s="54"/>
      <c r="E154" s="54"/>
      <c r="F154" s="54"/>
      <c r="G154" s="54"/>
      <c r="H154" s="54"/>
      <c r="I154" s="54"/>
      <c r="J154" s="54"/>
      <c r="K154" s="54"/>
      <c r="L154" s="54"/>
      <c r="M154" s="54"/>
    </row>
    <row r="155" spans="3:13" x14ac:dyDescent="0.3">
      <c r="C155" s="54"/>
      <c r="D155" s="54"/>
      <c r="E155" s="54"/>
      <c r="F155" s="54"/>
      <c r="G155" s="54"/>
      <c r="H155" s="54"/>
      <c r="I155" s="54"/>
      <c r="J155" s="54"/>
      <c r="K155" s="54"/>
      <c r="L155" s="54"/>
      <c r="M155" s="54"/>
    </row>
    <row r="156" spans="3:13" s="54" customFormat="1" x14ac:dyDescent="0.3"/>
    <row r="157" spans="3:13" s="54" customFormat="1" x14ac:dyDescent="0.3"/>
    <row r="158" spans="3:13" s="54" customFormat="1" x14ac:dyDescent="0.3"/>
    <row r="159" spans="3:13" s="54" customFormat="1" x14ac:dyDescent="0.3"/>
    <row r="160" spans="3:13" s="54" customFormat="1" x14ac:dyDescent="0.3"/>
    <row r="161" s="54" customFormat="1" x14ac:dyDescent="0.3"/>
    <row r="162" s="54" customFormat="1" x14ac:dyDescent="0.3"/>
    <row r="163" s="54" customFormat="1" x14ac:dyDescent="0.3"/>
    <row r="164" s="54" customFormat="1" x14ac:dyDescent="0.3"/>
    <row r="165" s="54" customFormat="1" x14ac:dyDescent="0.3"/>
    <row r="166" s="54" customFormat="1" x14ac:dyDescent="0.3"/>
    <row r="167" s="54" customFormat="1" x14ac:dyDescent="0.3"/>
    <row r="168" s="54" customFormat="1" x14ac:dyDescent="0.3"/>
    <row r="169" s="54" customFormat="1" x14ac:dyDescent="0.3"/>
    <row r="170" s="54" customFormat="1" x14ac:dyDescent="0.3"/>
    <row r="171" s="54" customFormat="1" x14ac:dyDescent="0.3"/>
    <row r="172" s="54" customFormat="1" x14ac:dyDescent="0.3"/>
    <row r="173" s="54" customFormat="1" x14ac:dyDescent="0.3"/>
    <row r="174" s="54" customFormat="1" x14ac:dyDescent="0.3"/>
    <row r="175" s="54" customFormat="1" x14ac:dyDescent="0.3"/>
    <row r="176" s="54" customFormat="1" x14ac:dyDescent="0.3"/>
    <row r="177" s="54" customFormat="1" x14ac:dyDescent="0.3"/>
    <row r="178" s="54" customFormat="1" x14ac:dyDescent="0.3"/>
    <row r="179" s="54" customFormat="1" x14ac:dyDescent="0.3"/>
    <row r="180" s="54" customFormat="1" x14ac:dyDescent="0.3"/>
    <row r="181" s="54" customFormat="1" x14ac:dyDescent="0.3"/>
    <row r="182" s="54" customFormat="1" x14ac:dyDescent="0.3"/>
    <row r="183" s="54" customFormat="1" x14ac:dyDescent="0.3"/>
    <row r="184" s="54" customFormat="1" x14ac:dyDescent="0.3"/>
    <row r="185" s="54" customFormat="1" x14ac:dyDescent="0.3"/>
    <row r="186" s="54" customFormat="1" x14ac:dyDescent="0.3"/>
    <row r="187" s="54" customFormat="1" x14ac:dyDescent="0.3"/>
    <row r="188" s="54" customFormat="1" x14ac:dyDescent="0.3"/>
    <row r="189" s="54" customFormat="1" x14ac:dyDescent="0.3"/>
    <row r="190" s="54" customFormat="1" x14ac:dyDescent="0.3"/>
    <row r="191" s="54" customFormat="1" x14ac:dyDescent="0.3"/>
    <row r="192" s="54" customFormat="1" x14ac:dyDescent="0.3"/>
    <row r="193" s="54" customFormat="1" x14ac:dyDescent="0.3"/>
    <row r="194" s="54" customFormat="1" x14ac:dyDescent="0.3"/>
    <row r="195" s="54" customFormat="1" x14ac:dyDescent="0.3"/>
    <row r="196" s="54" customFormat="1" x14ac:dyDescent="0.3"/>
    <row r="197" s="54" customFormat="1" x14ac:dyDescent="0.3"/>
    <row r="198" s="54" customFormat="1" x14ac:dyDescent="0.3"/>
    <row r="199" s="54" customFormat="1" x14ac:dyDescent="0.3"/>
    <row r="200" s="54" customFormat="1" x14ac:dyDescent="0.3"/>
    <row r="201" s="54" customFormat="1" x14ac:dyDescent="0.3"/>
    <row r="202" s="54" customFormat="1" x14ac:dyDescent="0.3"/>
    <row r="203" s="54" customFormat="1" x14ac:dyDescent="0.3"/>
    <row r="204" s="54" customFormat="1" x14ac:dyDescent="0.3"/>
    <row r="205" s="54" customFormat="1" x14ac:dyDescent="0.3"/>
    <row r="206" s="54" customFormat="1" x14ac:dyDescent="0.3"/>
    <row r="207" s="54" customFormat="1" x14ac:dyDescent="0.3"/>
    <row r="208" s="54" customFormat="1" x14ac:dyDescent="0.3"/>
    <row r="209" s="54" customFormat="1" x14ac:dyDescent="0.3"/>
    <row r="210" s="54" customFormat="1" x14ac:dyDescent="0.3"/>
    <row r="211" s="54" customFormat="1" x14ac:dyDescent="0.3"/>
    <row r="212" s="54" customFormat="1" x14ac:dyDescent="0.3"/>
    <row r="213" s="54" customFormat="1" x14ac:dyDescent="0.3"/>
    <row r="214" s="54" customFormat="1" x14ac:dyDescent="0.3"/>
    <row r="215" s="54" customFormat="1" x14ac:dyDescent="0.3"/>
    <row r="216" s="54" customFormat="1" x14ac:dyDescent="0.3"/>
    <row r="217" s="54" customFormat="1" x14ac:dyDescent="0.3"/>
    <row r="218" s="54" customFormat="1" x14ac:dyDescent="0.3"/>
    <row r="219" s="54" customFormat="1" x14ac:dyDescent="0.3"/>
    <row r="220" s="54" customFormat="1" x14ac:dyDescent="0.3"/>
    <row r="221" s="54" customFormat="1" x14ac:dyDescent="0.3"/>
    <row r="222" s="54" customFormat="1" x14ac:dyDescent="0.3"/>
    <row r="223" s="54" customFormat="1" x14ac:dyDescent="0.3"/>
    <row r="224" s="54" customFormat="1" x14ac:dyDescent="0.3"/>
    <row r="225" s="54" customFormat="1" x14ac:dyDescent="0.3"/>
    <row r="226" s="54" customFormat="1" x14ac:dyDescent="0.3"/>
    <row r="227" s="54" customFormat="1" x14ac:dyDescent="0.3"/>
    <row r="228" s="54" customFormat="1" x14ac:dyDescent="0.3"/>
    <row r="229" s="54" customFormat="1" x14ac:dyDescent="0.3"/>
    <row r="230" s="54" customFormat="1" x14ac:dyDescent="0.3"/>
    <row r="231" s="54" customFormat="1" x14ac:dyDescent="0.3"/>
    <row r="232" s="54" customFormat="1" x14ac:dyDescent="0.3"/>
    <row r="233" s="54" customFormat="1" x14ac:dyDescent="0.3"/>
    <row r="234" s="54" customFormat="1" x14ac:dyDescent="0.3"/>
    <row r="235" s="54" customFormat="1" x14ac:dyDescent="0.3"/>
    <row r="236" s="54" customFormat="1" x14ac:dyDescent="0.3"/>
    <row r="237" s="54" customFormat="1" x14ac:dyDescent="0.3"/>
    <row r="238" s="54" customFormat="1" x14ac:dyDescent="0.3"/>
    <row r="239" s="54" customFormat="1" x14ac:dyDescent="0.3"/>
    <row r="240" s="54" customFormat="1" x14ac:dyDescent="0.3"/>
    <row r="241" s="54" customFormat="1" x14ac:dyDescent="0.3"/>
    <row r="242" s="54" customFormat="1" x14ac:dyDescent="0.3"/>
    <row r="243" s="54" customFormat="1" x14ac:dyDescent="0.3"/>
    <row r="244" s="54" customFormat="1" x14ac:dyDescent="0.3"/>
    <row r="245" s="54" customFormat="1" x14ac:dyDescent="0.3"/>
    <row r="246" s="54" customFormat="1" x14ac:dyDescent="0.3"/>
    <row r="247" s="54" customFormat="1" x14ac:dyDescent="0.3"/>
    <row r="248" s="54" customFormat="1" x14ac:dyDescent="0.3"/>
    <row r="249" s="54" customFormat="1" x14ac:dyDescent="0.3"/>
    <row r="250" s="54" customFormat="1" x14ac:dyDescent="0.3"/>
    <row r="251" s="54" customFormat="1" x14ac:dyDescent="0.3"/>
    <row r="252" s="54" customFormat="1" x14ac:dyDescent="0.3"/>
    <row r="253" s="54" customFormat="1" x14ac:dyDescent="0.3"/>
    <row r="254" s="54" customFormat="1" x14ac:dyDescent="0.3"/>
    <row r="255" s="54" customFormat="1" x14ac:dyDescent="0.3"/>
    <row r="256" s="54" customFormat="1" x14ac:dyDescent="0.3"/>
    <row r="257" s="54" customFormat="1" x14ac:dyDescent="0.3"/>
    <row r="258" s="54" customFormat="1" x14ac:dyDescent="0.3"/>
    <row r="259" s="54" customFormat="1" x14ac:dyDescent="0.3"/>
    <row r="260" s="54" customFormat="1" x14ac:dyDescent="0.3"/>
    <row r="261" s="54" customFormat="1" x14ac:dyDescent="0.3"/>
    <row r="262" s="54" customFormat="1" x14ac:dyDescent="0.3"/>
    <row r="263" s="54" customFormat="1" x14ac:dyDescent="0.3"/>
    <row r="264" s="54" customFormat="1" x14ac:dyDescent="0.3"/>
    <row r="265" s="54" customFormat="1" x14ac:dyDescent="0.3"/>
    <row r="266" s="54" customFormat="1" x14ac:dyDescent="0.3"/>
    <row r="267" s="54" customFormat="1" x14ac:dyDescent="0.3"/>
    <row r="268" s="54" customFormat="1" x14ac:dyDescent="0.3"/>
    <row r="269" s="54" customFormat="1" x14ac:dyDescent="0.3"/>
    <row r="270" s="54" customFormat="1" x14ac:dyDescent="0.3"/>
    <row r="271" s="54" customFormat="1" x14ac:dyDescent="0.3"/>
    <row r="272" s="54" customFormat="1" x14ac:dyDescent="0.3"/>
    <row r="273" s="54" customFormat="1" x14ac:dyDescent="0.3"/>
    <row r="274" s="54" customFormat="1" x14ac:dyDescent="0.3"/>
    <row r="275" s="54" customFormat="1" x14ac:dyDescent="0.3"/>
    <row r="276" s="54" customFormat="1" x14ac:dyDescent="0.3"/>
    <row r="277" s="54" customFormat="1" x14ac:dyDescent="0.3"/>
    <row r="278" s="54" customFormat="1" x14ac:dyDescent="0.3"/>
    <row r="279" s="54" customFormat="1" x14ac:dyDescent="0.3"/>
    <row r="280" s="54" customFormat="1" x14ac:dyDescent="0.3"/>
    <row r="281" s="54" customFormat="1" x14ac:dyDescent="0.3"/>
    <row r="282" s="54" customFormat="1" x14ac:dyDescent="0.3"/>
    <row r="283" s="54" customFormat="1" x14ac:dyDescent="0.3"/>
    <row r="284" s="54" customFormat="1" x14ac:dyDescent="0.3"/>
    <row r="285" s="54" customFormat="1" x14ac:dyDescent="0.3"/>
    <row r="286" s="54" customFormat="1" x14ac:dyDescent="0.3"/>
    <row r="287" s="54" customFormat="1" x14ac:dyDescent="0.3"/>
    <row r="288" s="54" customFormat="1" x14ac:dyDescent="0.3"/>
    <row r="289" s="54" customFormat="1" x14ac:dyDescent="0.3"/>
    <row r="290" s="54" customFormat="1" x14ac:dyDescent="0.3"/>
    <row r="291" s="54" customFormat="1" x14ac:dyDescent="0.3"/>
    <row r="292" s="54" customFormat="1" x14ac:dyDescent="0.3"/>
    <row r="293" s="54" customFormat="1" x14ac:dyDescent="0.3"/>
    <row r="294" s="54" customFormat="1" x14ac:dyDescent="0.3"/>
    <row r="295" s="54" customFormat="1" x14ac:dyDescent="0.3"/>
    <row r="296" s="54" customFormat="1" x14ac:dyDescent="0.3"/>
    <row r="297" s="54" customFormat="1" x14ac:dyDescent="0.3"/>
    <row r="298" s="54" customFormat="1" x14ac:dyDescent="0.3"/>
    <row r="299" s="54" customFormat="1" x14ac:dyDescent="0.3"/>
    <row r="300" s="54" customFormat="1" x14ac:dyDescent="0.3"/>
    <row r="301" s="54" customFormat="1" x14ac:dyDescent="0.3"/>
    <row r="302" s="54" customFormat="1" x14ac:dyDescent="0.3"/>
    <row r="303" s="54" customFormat="1" x14ac:dyDescent="0.3"/>
    <row r="304" s="54" customFormat="1" x14ac:dyDescent="0.3"/>
    <row r="305" s="54" customFormat="1" x14ac:dyDescent="0.3"/>
    <row r="306" s="54" customFormat="1" x14ac:dyDescent="0.3"/>
    <row r="307" s="54" customFormat="1" x14ac:dyDescent="0.3"/>
    <row r="308" s="54" customFormat="1" x14ac:dyDescent="0.3"/>
    <row r="309" s="54" customFormat="1" x14ac:dyDescent="0.3"/>
    <row r="310" s="54" customFormat="1" x14ac:dyDescent="0.3"/>
    <row r="311" s="54" customFormat="1" x14ac:dyDescent="0.3"/>
    <row r="312" s="54" customFormat="1" x14ac:dyDescent="0.3"/>
    <row r="313" s="54" customFormat="1" x14ac:dyDescent="0.3"/>
    <row r="314" s="54" customFormat="1" x14ac:dyDescent="0.3"/>
    <row r="315" s="54" customFormat="1" x14ac:dyDescent="0.3"/>
    <row r="316" s="54" customFormat="1" x14ac:dyDescent="0.3"/>
    <row r="317" s="54" customFormat="1" x14ac:dyDescent="0.3"/>
    <row r="318" s="54" customFormat="1" x14ac:dyDescent="0.3"/>
    <row r="319" s="54" customFormat="1" x14ac:dyDescent="0.3"/>
    <row r="320" s="54" customFormat="1" x14ac:dyDescent="0.3"/>
    <row r="321" s="54" customFormat="1" x14ac:dyDescent="0.3"/>
    <row r="322" s="54" customFormat="1" x14ac:dyDescent="0.3"/>
    <row r="323" s="54" customFormat="1" x14ac:dyDescent="0.3"/>
    <row r="324" s="54" customFormat="1" x14ac:dyDescent="0.3"/>
    <row r="325" s="54" customFormat="1" x14ac:dyDescent="0.3"/>
    <row r="326" s="54" customFormat="1" x14ac:dyDescent="0.3"/>
    <row r="327" s="54" customFormat="1" x14ac:dyDescent="0.3"/>
    <row r="328" s="54" customFormat="1" x14ac:dyDescent="0.3"/>
    <row r="329" s="54" customFormat="1" x14ac:dyDescent="0.3"/>
    <row r="330" s="54" customFormat="1" x14ac:dyDescent="0.3"/>
    <row r="331" s="54" customFormat="1" x14ac:dyDescent="0.3"/>
    <row r="332" s="54" customFormat="1" x14ac:dyDescent="0.3"/>
    <row r="333" s="54" customFormat="1" x14ac:dyDescent="0.3"/>
    <row r="334" s="54" customFormat="1" x14ac:dyDescent="0.3"/>
    <row r="335" s="54" customFormat="1" x14ac:dyDescent="0.3"/>
    <row r="336" s="54" customFormat="1" x14ac:dyDescent="0.3"/>
    <row r="337" s="54" customFormat="1" x14ac:dyDescent="0.3"/>
    <row r="338" s="54" customFormat="1" x14ac:dyDescent="0.3"/>
    <row r="339" s="54" customFormat="1" x14ac:dyDescent="0.3"/>
    <row r="340" s="54" customFormat="1" x14ac:dyDescent="0.3"/>
    <row r="341" s="54" customFormat="1" x14ac:dyDescent="0.3"/>
    <row r="342" s="54" customFormat="1" x14ac:dyDescent="0.3"/>
    <row r="343" s="54" customFormat="1" x14ac:dyDescent="0.3"/>
    <row r="344" s="54" customFormat="1" x14ac:dyDescent="0.3"/>
    <row r="345" s="54" customFormat="1" x14ac:dyDescent="0.3"/>
    <row r="346" s="54" customFormat="1" x14ac:dyDescent="0.3"/>
    <row r="347" s="54" customFormat="1" x14ac:dyDescent="0.3"/>
    <row r="348" s="54" customFormat="1" x14ac:dyDescent="0.3"/>
    <row r="349" s="54" customFormat="1" x14ac:dyDescent="0.3"/>
    <row r="350" s="54" customFormat="1" x14ac:dyDescent="0.3"/>
    <row r="351" s="54" customFormat="1" x14ac:dyDescent="0.3"/>
    <row r="352" s="54" customFormat="1" x14ac:dyDescent="0.3"/>
    <row r="353" s="54" customFormat="1" x14ac:dyDescent="0.3"/>
    <row r="354" s="54" customFormat="1" x14ac:dyDescent="0.3"/>
    <row r="355" s="54" customFormat="1" x14ac:dyDescent="0.3"/>
    <row r="356" s="54" customFormat="1" x14ac:dyDescent="0.3"/>
    <row r="357" s="54" customFormat="1" x14ac:dyDescent="0.3"/>
    <row r="358" s="54" customFormat="1" x14ac:dyDescent="0.3"/>
    <row r="359" s="54" customFormat="1" x14ac:dyDescent="0.3"/>
    <row r="360" s="54" customFormat="1" x14ac:dyDescent="0.3"/>
    <row r="361" s="54" customFormat="1" x14ac:dyDescent="0.3"/>
    <row r="362" s="54" customFormat="1" x14ac:dyDescent="0.3"/>
    <row r="363" s="54" customFormat="1" x14ac:dyDescent="0.3"/>
    <row r="364" s="54" customFormat="1" x14ac:dyDescent="0.3"/>
    <row r="365" s="54" customFormat="1" x14ac:dyDescent="0.3"/>
    <row r="366" s="54" customFormat="1" x14ac:dyDescent="0.3"/>
    <row r="367" s="54" customFormat="1" x14ac:dyDescent="0.3"/>
    <row r="368" s="54" customFormat="1" x14ac:dyDescent="0.3"/>
    <row r="369" s="54" customFormat="1" x14ac:dyDescent="0.3"/>
    <row r="370" s="54" customFormat="1" x14ac:dyDescent="0.3"/>
    <row r="371" s="54" customFormat="1" x14ac:dyDescent="0.3"/>
    <row r="372" s="54" customFormat="1" x14ac:dyDescent="0.3"/>
    <row r="373" s="54" customFormat="1" x14ac:dyDescent="0.3"/>
    <row r="374" s="54" customFormat="1" x14ac:dyDescent="0.3"/>
    <row r="375" s="54" customFormat="1" x14ac:dyDescent="0.3"/>
    <row r="376" s="54" customFormat="1" x14ac:dyDescent="0.3"/>
    <row r="377" s="54" customFormat="1" x14ac:dyDescent="0.3"/>
    <row r="378" s="54" customFormat="1" x14ac:dyDescent="0.3"/>
    <row r="379" s="54" customFormat="1" x14ac:dyDescent="0.3"/>
    <row r="380" s="54" customFormat="1" x14ac:dyDescent="0.3"/>
    <row r="381" s="54" customFormat="1" x14ac:dyDescent="0.3"/>
    <row r="382" s="54" customFormat="1" x14ac:dyDescent="0.3"/>
    <row r="383" s="54" customFormat="1" x14ac:dyDescent="0.3"/>
    <row r="384" s="54" customFormat="1" x14ac:dyDescent="0.3"/>
    <row r="385" s="54" customFormat="1" x14ac:dyDescent="0.3"/>
    <row r="386" s="54" customFormat="1" x14ac:dyDescent="0.3"/>
    <row r="387" s="54" customFormat="1" x14ac:dyDescent="0.3"/>
    <row r="388" s="54" customFormat="1" x14ac:dyDescent="0.3"/>
    <row r="389" s="54" customFormat="1" x14ac:dyDescent="0.3"/>
    <row r="390" s="54" customFormat="1" x14ac:dyDescent="0.3"/>
    <row r="391" s="54" customFormat="1" x14ac:dyDescent="0.3"/>
    <row r="392" s="54" customFormat="1" x14ac:dyDescent="0.3"/>
    <row r="393" s="54" customFormat="1" x14ac:dyDescent="0.3"/>
    <row r="394" s="54" customFormat="1" x14ac:dyDescent="0.3"/>
    <row r="395" s="54" customFormat="1" x14ac:dyDescent="0.3"/>
    <row r="396" s="54" customFormat="1" x14ac:dyDescent="0.3"/>
    <row r="397" s="54" customFormat="1" x14ac:dyDescent="0.3"/>
    <row r="398" s="54" customFormat="1" x14ac:dyDescent="0.3"/>
    <row r="399" s="54" customFormat="1" x14ac:dyDescent="0.3"/>
    <row r="400" s="54" customFormat="1" x14ac:dyDescent="0.3"/>
    <row r="401" s="54" customFormat="1" x14ac:dyDescent="0.3"/>
    <row r="402" s="54" customFormat="1" x14ac:dyDescent="0.3"/>
    <row r="403" s="54" customFormat="1" x14ac:dyDescent="0.3"/>
    <row r="404" s="54" customFormat="1" x14ac:dyDescent="0.3"/>
    <row r="405" s="54" customFormat="1" x14ac:dyDescent="0.3"/>
    <row r="406" s="54" customFormat="1" x14ac:dyDescent="0.3"/>
    <row r="407" s="54" customFormat="1" x14ac:dyDescent="0.3"/>
    <row r="408" s="54" customFormat="1" x14ac:dyDescent="0.3"/>
    <row r="409" s="54" customFormat="1" x14ac:dyDescent="0.3"/>
    <row r="410" s="54" customFormat="1" x14ac:dyDescent="0.3"/>
    <row r="411" s="54" customFormat="1" x14ac:dyDescent="0.3"/>
    <row r="412" s="54" customFormat="1" x14ac:dyDescent="0.3"/>
    <row r="413" s="54" customFormat="1" x14ac:dyDescent="0.3"/>
    <row r="414" s="54" customFormat="1" x14ac:dyDescent="0.3"/>
    <row r="415" s="54" customFormat="1" x14ac:dyDescent="0.3"/>
    <row r="416" s="54" customFormat="1" x14ac:dyDescent="0.3"/>
    <row r="417" s="54" customFormat="1" x14ac:dyDescent="0.3"/>
    <row r="418" s="54" customFormat="1" x14ac:dyDescent="0.3"/>
    <row r="419" s="54" customFormat="1" x14ac:dyDescent="0.3"/>
    <row r="420" s="54" customFormat="1" x14ac:dyDescent="0.3"/>
    <row r="421" s="54" customFormat="1" x14ac:dyDescent="0.3"/>
    <row r="422" s="54" customFormat="1" x14ac:dyDescent="0.3"/>
    <row r="423" s="54" customFormat="1" x14ac:dyDescent="0.3"/>
    <row r="424" s="54" customFormat="1" x14ac:dyDescent="0.3"/>
    <row r="425" s="54" customFormat="1" x14ac:dyDescent="0.3"/>
    <row r="426" s="54" customFormat="1" x14ac:dyDescent="0.3"/>
    <row r="427" s="54" customFormat="1" x14ac:dyDescent="0.3"/>
    <row r="428" s="54" customFormat="1" x14ac:dyDescent="0.3"/>
    <row r="429" s="54" customFormat="1" x14ac:dyDescent="0.3"/>
    <row r="430" s="54" customFormat="1" x14ac:dyDescent="0.3"/>
    <row r="431" s="54" customFormat="1" x14ac:dyDescent="0.3"/>
    <row r="432" s="54" customFormat="1" x14ac:dyDescent="0.3"/>
    <row r="433" s="54" customFormat="1" x14ac:dyDescent="0.3"/>
    <row r="434" s="54" customFormat="1" x14ac:dyDescent="0.3"/>
    <row r="435" s="54" customFormat="1" x14ac:dyDescent="0.3"/>
    <row r="436" s="54" customFormat="1" x14ac:dyDescent="0.3"/>
    <row r="437" s="54" customFormat="1" x14ac:dyDescent="0.3"/>
    <row r="438" s="54" customFormat="1" x14ac:dyDescent="0.3"/>
    <row r="439" s="54" customFormat="1" x14ac:dyDescent="0.3"/>
    <row r="440" s="54" customFormat="1" x14ac:dyDescent="0.3"/>
    <row r="441" s="54" customFormat="1" x14ac:dyDescent="0.3"/>
    <row r="442" s="54" customFormat="1" x14ac:dyDescent="0.3"/>
    <row r="443" s="54" customFormat="1" x14ac:dyDescent="0.3"/>
    <row r="444" s="54" customFormat="1" x14ac:dyDescent="0.3"/>
    <row r="445" s="54" customFormat="1" x14ac:dyDescent="0.3"/>
    <row r="446" s="54" customFormat="1" x14ac:dyDescent="0.3"/>
    <row r="447" s="54" customFormat="1" x14ac:dyDescent="0.3"/>
    <row r="448" s="54" customFormat="1" x14ac:dyDescent="0.3"/>
    <row r="449" s="54" customFormat="1" x14ac:dyDescent="0.3"/>
    <row r="450" s="54" customFormat="1" x14ac:dyDescent="0.3"/>
    <row r="451" s="54" customFormat="1" x14ac:dyDescent="0.3"/>
    <row r="452" s="54" customFormat="1" x14ac:dyDescent="0.3"/>
    <row r="453" s="54" customFormat="1" x14ac:dyDescent="0.3"/>
    <row r="454" s="54" customFormat="1" x14ac:dyDescent="0.3"/>
    <row r="455" s="54" customFormat="1" x14ac:dyDescent="0.3"/>
    <row r="456" s="54" customFormat="1" x14ac:dyDescent="0.3"/>
    <row r="457" s="54" customFormat="1" x14ac:dyDescent="0.3"/>
    <row r="458" s="54" customFormat="1" x14ac:dyDescent="0.3"/>
    <row r="459" s="54" customFormat="1" x14ac:dyDescent="0.3"/>
    <row r="460" s="54" customFormat="1" x14ac:dyDescent="0.3"/>
    <row r="461" s="54" customFormat="1" x14ac:dyDescent="0.3"/>
    <row r="462" s="54" customFormat="1" x14ac:dyDescent="0.3"/>
    <row r="463" s="54" customFormat="1" x14ac:dyDescent="0.3"/>
    <row r="464" s="54" customFormat="1" x14ac:dyDescent="0.3"/>
    <row r="465" s="54" customFormat="1" x14ac:dyDescent="0.3"/>
    <row r="466" s="54" customFormat="1" x14ac:dyDescent="0.3"/>
    <row r="467" s="54" customFormat="1" x14ac:dyDescent="0.3"/>
    <row r="468" s="54" customFormat="1" x14ac:dyDescent="0.3"/>
    <row r="469" s="54" customFormat="1" x14ac:dyDescent="0.3"/>
    <row r="470" s="54" customFormat="1" x14ac:dyDescent="0.3"/>
    <row r="471" s="54" customFormat="1" x14ac:dyDescent="0.3"/>
    <row r="472" s="54" customFormat="1" x14ac:dyDescent="0.3"/>
    <row r="473" s="54" customFormat="1" x14ac:dyDescent="0.3"/>
    <row r="474" s="54" customFormat="1" x14ac:dyDescent="0.3"/>
    <row r="475" s="54" customFormat="1" x14ac:dyDescent="0.3"/>
    <row r="476" s="54" customFormat="1" x14ac:dyDescent="0.3"/>
    <row r="477" s="54" customFormat="1" x14ac:dyDescent="0.3"/>
    <row r="478" s="54" customFormat="1" x14ac:dyDescent="0.3"/>
    <row r="479" s="54" customFormat="1" x14ac:dyDescent="0.3"/>
    <row r="480" s="54" customFormat="1" x14ac:dyDescent="0.3"/>
    <row r="481" s="54" customFormat="1" x14ac:dyDescent="0.3"/>
    <row r="482" s="54" customFormat="1" x14ac:dyDescent="0.3"/>
    <row r="483" s="54" customFormat="1" x14ac:dyDescent="0.3"/>
    <row r="484" s="54" customFormat="1" x14ac:dyDescent="0.3"/>
    <row r="485" s="54" customFormat="1" x14ac:dyDescent="0.3"/>
    <row r="486" s="54" customFormat="1" x14ac:dyDescent="0.3"/>
    <row r="487" s="54" customFormat="1" x14ac:dyDescent="0.3"/>
    <row r="488" s="54" customFormat="1" x14ac:dyDescent="0.3"/>
    <row r="489" s="54" customFormat="1" x14ac:dyDescent="0.3"/>
    <row r="490" s="54" customFormat="1" x14ac:dyDescent="0.3"/>
    <row r="491" s="54" customFormat="1" x14ac:dyDescent="0.3"/>
    <row r="492" s="54" customFormat="1" x14ac:dyDescent="0.3"/>
    <row r="493" s="54" customFormat="1" x14ac:dyDescent="0.3"/>
    <row r="494" s="54" customFormat="1" x14ac:dyDescent="0.3"/>
    <row r="495" s="54" customFormat="1" x14ac:dyDescent="0.3"/>
    <row r="496" s="54" customFormat="1" x14ac:dyDescent="0.3"/>
    <row r="497" s="54" customFormat="1" x14ac:dyDescent="0.3"/>
    <row r="498" s="54" customFormat="1" x14ac:dyDescent="0.3"/>
    <row r="499" s="54" customFormat="1" x14ac:dyDescent="0.3"/>
    <row r="500" s="54" customFormat="1" x14ac:dyDescent="0.3"/>
    <row r="501" s="54" customFormat="1" x14ac:dyDescent="0.3"/>
    <row r="502" s="54" customFormat="1" x14ac:dyDescent="0.3"/>
    <row r="503" s="54" customFormat="1" x14ac:dyDescent="0.3"/>
    <row r="504" s="54" customFormat="1" x14ac:dyDescent="0.3"/>
    <row r="505" s="54" customFormat="1" x14ac:dyDescent="0.3"/>
    <row r="506" s="54" customFormat="1" x14ac:dyDescent="0.3"/>
    <row r="507" s="54" customFormat="1" x14ac:dyDescent="0.3"/>
    <row r="508" s="54" customFormat="1" x14ac:dyDescent="0.3"/>
    <row r="509" s="54" customFormat="1" x14ac:dyDescent="0.3"/>
    <row r="510" s="54" customFormat="1" x14ac:dyDescent="0.3"/>
    <row r="511" s="54" customFormat="1" x14ac:dyDescent="0.3"/>
    <row r="512" s="54" customFormat="1" x14ac:dyDescent="0.3"/>
    <row r="513" s="54" customFormat="1" x14ac:dyDescent="0.3"/>
    <row r="514" s="54" customFormat="1" x14ac:dyDescent="0.3"/>
    <row r="515" s="54" customFormat="1" x14ac:dyDescent="0.3"/>
    <row r="516" s="54" customFormat="1" x14ac:dyDescent="0.3"/>
    <row r="517" s="54" customFormat="1" x14ac:dyDescent="0.3"/>
    <row r="518" s="54" customFormat="1" x14ac:dyDescent="0.3"/>
    <row r="519" s="54" customFormat="1" x14ac:dyDescent="0.3"/>
    <row r="520" s="54" customFormat="1" x14ac:dyDescent="0.3"/>
    <row r="521" s="54" customFormat="1" x14ac:dyDescent="0.3"/>
    <row r="522" s="54" customFormat="1" x14ac:dyDescent="0.3"/>
    <row r="523" s="54" customFormat="1" x14ac:dyDescent="0.3"/>
    <row r="524" s="54" customFormat="1" x14ac:dyDescent="0.3"/>
    <row r="525" s="54" customFormat="1" x14ac:dyDescent="0.3"/>
    <row r="526" s="54" customFormat="1" x14ac:dyDescent="0.3"/>
    <row r="527" s="54" customFormat="1" x14ac:dyDescent="0.3"/>
    <row r="528" s="54" customFormat="1" x14ac:dyDescent="0.3"/>
    <row r="529" s="54" customFormat="1" x14ac:dyDescent="0.3"/>
    <row r="530" s="54" customFormat="1" x14ac:dyDescent="0.3"/>
    <row r="531" s="54" customFormat="1" x14ac:dyDescent="0.3"/>
    <row r="532" s="54" customFormat="1" x14ac:dyDescent="0.3"/>
    <row r="533" s="54" customFormat="1" x14ac:dyDescent="0.3"/>
    <row r="534" s="54" customFormat="1" x14ac:dyDescent="0.3"/>
    <row r="535" s="54" customFormat="1" x14ac:dyDescent="0.3"/>
    <row r="536" s="54" customFormat="1" x14ac:dyDescent="0.3"/>
    <row r="537" s="54" customFormat="1" x14ac:dyDescent="0.3"/>
    <row r="538" s="54" customFormat="1" x14ac:dyDescent="0.3"/>
    <row r="539" s="54" customFormat="1" x14ac:dyDescent="0.3"/>
    <row r="540" s="54" customFormat="1" x14ac:dyDescent="0.3"/>
    <row r="541" s="54" customFormat="1" x14ac:dyDescent="0.3"/>
    <row r="542" s="54" customFormat="1" x14ac:dyDescent="0.3"/>
    <row r="543" s="54" customFormat="1" x14ac:dyDescent="0.3"/>
    <row r="544" s="54" customFormat="1" x14ac:dyDescent="0.3"/>
    <row r="545" s="54" customFormat="1" x14ac:dyDescent="0.3"/>
    <row r="546" s="54" customFormat="1" x14ac:dyDescent="0.3"/>
    <row r="547" s="54" customFormat="1" x14ac:dyDescent="0.3"/>
    <row r="548" s="54" customFormat="1" x14ac:dyDescent="0.3"/>
    <row r="549" s="54" customFormat="1" x14ac:dyDescent="0.3"/>
    <row r="550" s="54" customFormat="1" x14ac:dyDescent="0.3"/>
    <row r="551" s="54" customFormat="1" x14ac:dyDescent="0.3"/>
    <row r="552" s="54" customFormat="1" x14ac:dyDescent="0.3"/>
    <row r="553" s="54" customFormat="1" x14ac:dyDescent="0.3"/>
    <row r="554" s="54" customFormat="1" x14ac:dyDescent="0.3"/>
    <row r="555" s="54" customFormat="1" x14ac:dyDescent="0.3"/>
    <row r="556" s="54" customFormat="1" x14ac:dyDescent="0.3"/>
    <row r="557" s="54" customFormat="1" x14ac:dyDescent="0.3"/>
    <row r="558" s="54" customFormat="1" x14ac:dyDescent="0.3"/>
    <row r="559" s="54" customFormat="1" x14ac:dyDescent="0.3"/>
    <row r="560" s="54" customFormat="1" x14ac:dyDescent="0.3"/>
    <row r="561" s="54" customFormat="1" x14ac:dyDescent="0.3"/>
    <row r="562" s="54" customFormat="1" x14ac:dyDescent="0.3"/>
    <row r="563" s="54" customFormat="1" x14ac:dyDescent="0.3"/>
    <row r="564" s="54" customFormat="1" x14ac:dyDescent="0.3"/>
    <row r="565" s="54" customFormat="1" x14ac:dyDescent="0.3"/>
    <row r="566" s="54" customFormat="1" x14ac:dyDescent="0.3"/>
    <row r="567" s="54" customFormat="1" x14ac:dyDescent="0.3"/>
    <row r="568" s="54" customFormat="1" x14ac:dyDescent="0.3"/>
    <row r="569" s="54" customFormat="1" x14ac:dyDescent="0.3"/>
    <row r="570" s="54" customFormat="1" x14ac:dyDescent="0.3"/>
    <row r="571" s="54" customFormat="1" x14ac:dyDescent="0.3"/>
    <row r="572" s="54" customFormat="1" x14ac:dyDescent="0.3"/>
    <row r="573" s="54" customFormat="1" x14ac:dyDescent="0.3"/>
    <row r="574" s="54" customFormat="1" x14ac:dyDescent="0.3"/>
    <row r="575" s="54" customFormat="1" x14ac:dyDescent="0.3"/>
    <row r="576" s="54" customFormat="1" x14ac:dyDescent="0.3"/>
    <row r="577" s="54" customFormat="1" x14ac:dyDescent="0.3"/>
    <row r="578" s="54" customFormat="1" x14ac:dyDescent="0.3"/>
    <row r="579" s="54" customFormat="1" x14ac:dyDescent="0.3"/>
    <row r="580" s="54" customFormat="1" x14ac:dyDescent="0.3"/>
    <row r="581" s="54" customFormat="1" x14ac:dyDescent="0.3"/>
    <row r="582" s="54" customFormat="1" x14ac:dyDescent="0.3"/>
    <row r="583" s="54" customFormat="1" x14ac:dyDescent="0.3"/>
    <row r="584" s="54" customFormat="1" x14ac:dyDescent="0.3"/>
    <row r="585" s="54" customFormat="1" x14ac:dyDescent="0.3"/>
    <row r="586" s="54" customFormat="1" x14ac:dyDescent="0.3"/>
    <row r="587" s="54" customFormat="1" x14ac:dyDescent="0.3"/>
    <row r="588" s="54" customFormat="1" x14ac:dyDescent="0.3"/>
    <row r="589" s="54" customFormat="1" x14ac:dyDescent="0.3"/>
    <row r="590" s="54" customFormat="1" x14ac:dyDescent="0.3"/>
    <row r="591" s="54" customFormat="1" x14ac:dyDescent="0.3"/>
    <row r="592" s="54" customFormat="1" x14ac:dyDescent="0.3"/>
    <row r="593" s="54" customFormat="1" x14ac:dyDescent="0.3"/>
    <row r="594" s="54" customFormat="1" x14ac:dyDescent="0.3"/>
    <row r="595" s="54" customFormat="1" x14ac:dyDescent="0.3"/>
    <row r="596" s="54" customFormat="1" x14ac:dyDescent="0.3"/>
    <row r="597" s="54" customFormat="1" x14ac:dyDescent="0.3"/>
    <row r="598" s="54" customFormat="1" x14ac:dyDescent="0.3"/>
    <row r="599" s="54" customFormat="1" x14ac:dyDescent="0.3"/>
    <row r="600" s="54" customFormat="1" x14ac:dyDescent="0.3"/>
    <row r="601" s="54" customFormat="1" x14ac:dyDescent="0.3"/>
    <row r="602" s="54" customFormat="1" x14ac:dyDescent="0.3"/>
    <row r="603" s="54" customFormat="1" x14ac:dyDescent="0.3"/>
    <row r="604" s="54" customFormat="1" x14ac:dyDescent="0.3"/>
    <row r="605" s="54" customFormat="1" x14ac:dyDescent="0.3"/>
    <row r="606" s="54" customFormat="1" x14ac:dyDescent="0.3"/>
    <row r="607" s="54" customFormat="1" x14ac:dyDescent="0.3"/>
    <row r="608" s="54" customFormat="1" x14ac:dyDescent="0.3"/>
    <row r="609" s="54" customFormat="1" x14ac:dyDescent="0.3"/>
    <row r="610" s="54" customFormat="1" x14ac:dyDescent="0.3"/>
    <row r="611" s="54" customFormat="1" x14ac:dyDescent="0.3"/>
    <row r="612" s="54" customFormat="1" x14ac:dyDescent="0.3"/>
    <row r="613" s="54" customFormat="1" x14ac:dyDescent="0.3"/>
    <row r="614" s="54" customFormat="1" x14ac:dyDescent="0.3"/>
    <row r="615" s="54" customFormat="1" x14ac:dyDescent="0.3"/>
    <row r="616" s="54" customFormat="1" x14ac:dyDescent="0.3"/>
    <row r="617" s="54" customFormat="1" x14ac:dyDescent="0.3"/>
    <row r="618" s="54" customFormat="1" x14ac:dyDescent="0.3"/>
    <row r="619" s="54" customFormat="1" x14ac:dyDescent="0.3"/>
    <row r="620" s="54" customFormat="1" x14ac:dyDescent="0.3"/>
    <row r="621" s="54" customFormat="1" x14ac:dyDescent="0.3"/>
    <row r="622" s="54" customFormat="1" x14ac:dyDescent="0.3"/>
    <row r="623" s="54" customFormat="1" x14ac:dyDescent="0.3"/>
    <row r="624" s="54" customFormat="1" x14ac:dyDescent="0.3"/>
    <row r="625" s="54" customFormat="1" x14ac:dyDescent="0.3"/>
    <row r="626" s="54" customFormat="1" x14ac:dyDescent="0.3"/>
    <row r="627" s="54" customFormat="1" x14ac:dyDescent="0.3"/>
    <row r="628" s="54" customFormat="1" x14ac:dyDescent="0.3"/>
    <row r="629" s="54" customFormat="1" x14ac:dyDescent="0.3"/>
    <row r="630" s="54" customFormat="1" x14ac:dyDescent="0.3"/>
    <row r="631" s="54" customFormat="1" x14ac:dyDescent="0.3"/>
    <row r="632" s="54" customFormat="1" x14ac:dyDescent="0.3"/>
    <row r="633" s="54" customFormat="1" x14ac:dyDescent="0.3"/>
    <row r="634" s="54" customFormat="1" x14ac:dyDescent="0.3"/>
    <row r="635" s="54" customFormat="1" x14ac:dyDescent="0.3"/>
    <row r="636" s="54" customFormat="1" x14ac:dyDescent="0.3"/>
    <row r="637" s="54" customFormat="1" x14ac:dyDescent="0.3"/>
    <row r="638" s="54" customFormat="1" x14ac:dyDescent="0.3"/>
    <row r="639" s="54" customFormat="1" x14ac:dyDescent="0.3"/>
    <row r="640" s="54" customFormat="1" x14ac:dyDescent="0.3"/>
    <row r="641" s="54" customFormat="1" x14ac:dyDescent="0.3"/>
    <row r="642" s="54" customFormat="1" x14ac:dyDescent="0.3"/>
    <row r="643" s="54" customFormat="1" x14ac:dyDescent="0.3"/>
    <row r="644" s="54" customFormat="1" x14ac:dyDescent="0.3"/>
    <row r="645" s="54" customFormat="1" x14ac:dyDescent="0.3"/>
    <row r="646" s="54" customFormat="1" x14ac:dyDescent="0.3"/>
    <row r="647" s="54" customFormat="1" x14ac:dyDescent="0.3"/>
    <row r="648" s="54" customFormat="1" x14ac:dyDescent="0.3"/>
    <row r="649" s="54" customFormat="1" x14ac:dyDescent="0.3"/>
    <row r="650" s="54" customFormat="1" x14ac:dyDescent="0.3"/>
    <row r="651" s="54" customFormat="1" x14ac:dyDescent="0.3"/>
    <row r="652" s="54" customFormat="1" x14ac:dyDescent="0.3"/>
    <row r="653" s="54" customFormat="1" x14ac:dyDescent="0.3"/>
    <row r="654" s="54" customFormat="1" x14ac:dyDescent="0.3"/>
    <row r="655" s="54" customFormat="1" x14ac:dyDescent="0.3"/>
    <row r="656" s="54" customFormat="1" x14ac:dyDescent="0.3"/>
    <row r="657" s="54" customFormat="1" x14ac:dyDescent="0.3"/>
    <row r="658" s="54" customFormat="1" x14ac:dyDescent="0.3"/>
    <row r="659" s="54" customFormat="1" x14ac:dyDescent="0.3"/>
    <row r="660" s="54" customFormat="1" x14ac:dyDescent="0.3"/>
    <row r="661" s="54" customFormat="1" x14ac:dyDescent="0.3"/>
    <row r="662" s="54" customFormat="1" x14ac:dyDescent="0.3"/>
    <row r="663" s="54" customFormat="1" x14ac:dyDescent="0.3"/>
    <row r="664" s="54" customFormat="1" x14ac:dyDescent="0.3"/>
    <row r="665" s="54" customFormat="1" x14ac:dyDescent="0.3"/>
    <row r="666" s="54" customFormat="1" x14ac:dyDescent="0.3"/>
    <row r="667" s="54" customFormat="1" x14ac:dyDescent="0.3"/>
    <row r="668" s="54" customFormat="1" x14ac:dyDescent="0.3"/>
    <row r="669" s="54" customFormat="1" x14ac:dyDescent="0.3"/>
    <row r="670" s="54" customFormat="1" x14ac:dyDescent="0.3"/>
    <row r="671" s="54" customFormat="1" x14ac:dyDescent="0.3"/>
    <row r="672" s="54" customFormat="1" x14ac:dyDescent="0.3"/>
    <row r="673" s="54" customFormat="1" x14ac:dyDescent="0.3"/>
    <row r="674" s="54" customFormat="1" x14ac:dyDescent="0.3"/>
    <row r="675" s="54" customFormat="1" x14ac:dyDescent="0.3"/>
    <row r="676" s="54" customFormat="1" x14ac:dyDescent="0.3"/>
    <row r="677" s="54" customFormat="1" x14ac:dyDescent="0.3"/>
    <row r="678" s="54" customFormat="1" x14ac:dyDescent="0.3"/>
    <row r="679" s="54" customFormat="1" x14ac:dyDescent="0.3"/>
    <row r="680" s="54" customFormat="1" x14ac:dyDescent="0.3"/>
    <row r="681" s="54" customFormat="1" x14ac:dyDescent="0.3"/>
    <row r="682" s="54" customFormat="1" x14ac:dyDescent="0.3"/>
    <row r="683" s="54" customFormat="1" x14ac:dyDescent="0.3"/>
    <row r="684" s="54" customFormat="1" x14ac:dyDescent="0.3"/>
    <row r="685" s="54" customFormat="1" x14ac:dyDescent="0.3"/>
    <row r="686" s="54" customFormat="1" x14ac:dyDescent="0.3"/>
    <row r="687" s="54" customFormat="1" x14ac:dyDescent="0.3"/>
    <row r="688" s="54" customFormat="1" x14ac:dyDescent="0.3"/>
    <row r="689" s="54" customFormat="1" x14ac:dyDescent="0.3"/>
    <row r="690" s="54" customFormat="1" x14ac:dyDescent="0.3"/>
    <row r="691" s="54" customFormat="1" x14ac:dyDescent="0.3"/>
    <row r="692" s="54" customFormat="1" x14ac:dyDescent="0.3"/>
    <row r="693" s="54" customFormat="1" x14ac:dyDescent="0.3"/>
    <row r="694" s="54" customFormat="1" x14ac:dyDescent="0.3"/>
    <row r="695" s="54" customFormat="1" x14ac:dyDescent="0.3"/>
    <row r="696" s="54" customFormat="1" x14ac:dyDescent="0.3"/>
    <row r="697" s="54" customFormat="1" x14ac:dyDescent="0.3"/>
    <row r="698" s="54" customFormat="1" x14ac:dyDescent="0.3"/>
    <row r="699" s="54" customFormat="1" x14ac:dyDescent="0.3"/>
    <row r="700" s="54" customFormat="1" x14ac:dyDescent="0.3"/>
    <row r="701" s="54" customFormat="1" x14ac:dyDescent="0.3"/>
    <row r="702" s="54" customFormat="1" x14ac:dyDescent="0.3"/>
    <row r="703" s="54" customFormat="1" x14ac:dyDescent="0.3"/>
    <row r="704" s="54" customFormat="1" x14ac:dyDescent="0.3"/>
    <row r="705" s="54" customFormat="1" x14ac:dyDescent="0.3"/>
    <row r="706" s="54" customFormat="1" x14ac:dyDescent="0.3"/>
    <row r="707" s="54" customFormat="1" x14ac:dyDescent="0.3"/>
    <row r="708" s="54" customFormat="1" x14ac:dyDescent="0.3"/>
    <row r="709" s="54" customFormat="1" x14ac:dyDescent="0.3"/>
    <row r="710" s="54" customFormat="1" x14ac:dyDescent="0.3"/>
    <row r="711" s="54" customFormat="1" x14ac:dyDescent="0.3"/>
    <row r="712" s="54" customFormat="1" x14ac:dyDescent="0.3"/>
    <row r="713" s="54" customFormat="1" x14ac:dyDescent="0.3"/>
    <row r="714" s="54" customFormat="1" x14ac:dyDescent="0.3"/>
    <row r="715" s="54" customFormat="1" x14ac:dyDescent="0.3"/>
    <row r="716" s="54" customFormat="1" x14ac:dyDescent="0.3"/>
    <row r="717" s="54" customFormat="1" x14ac:dyDescent="0.3"/>
    <row r="718" s="54" customFormat="1" x14ac:dyDescent="0.3"/>
    <row r="719" s="54" customFormat="1" x14ac:dyDescent="0.3"/>
    <row r="720" s="54" customFormat="1" x14ac:dyDescent="0.3"/>
    <row r="721" s="54" customFormat="1" x14ac:dyDescent="0.3"/>
    <row r="722" s="54" customFormat="1" x14ac:dyDescent="0.3"/>
    <row r="723" s="54" customFormat="1" x14ac:dyDescent="0.3"/>
    <row r="724" s="54" customFormat="1" x14ac:dyDescent="0.3"/>
    <row r="725" s="54" customFormat="1" x14ac:dyDescent="0.3"/>
    <row r="726" s="54" customFormat="1" x14ac:dyDescent="0.3"/>
    <row r="727" s="54" customFormat="1" x14ac:dyDescent="0.3"/>
    <row r="728" s="54" customFormat="1" x14ac:dyDescent="0.3"/>
    <row r="729" s="54" customFormat="1" x14ac:dyDescent="0.3"/>
    <row r="730" s="54" customFormat="1" x14ac:dyDescent="0.3"/>
    <row r="731" s="54" customFormat="1" x14ac:dyDescent="0.3"/>
    <row r="732" s="54" customFormat="1" x14ac:dyDescent="0.3"/>
    <row r="733" s="54" customFormat="1" x14ac:dyDescent="0.3"/>
    <row r="734" s="54" customFormat="1" x14ac:dyDescent="0.3"/>
    <row r="735" s="54" customFormat="1" x14ac:dyDescent="0.3"/>
    <row r="736" s="54" customFormat="1" x14ac:dyDescent="0.3"/>
    <row r="737" s="54" customFormat="1" x14ac:dyDescent="0.3"/>
    <row r="738" s="54" customFormat="1" x14ac:dyDescent="0.3"/>
    <row r="739" s="54" customFormat="1" x14ac:dyDescent="0.3"/>
    <row r="740" s="54" customFormat="1" x14ac:dyDescent="0.3"/>
    <row r="741" s="54" customFormat="1" x14ac:dyDescent="0.3"/>
    <row r="742" s="54" customFormat="1" x14ac:dyDescent="0.3"/>
    <row r="743" s="54" customFormat="1" x14ac:dyDescent="0.3"/>
    <row r="744" s="54" customFormat="1" x14ac:dyDescent="0.3"/>
    <row r="745" s="54" customFormat="1" x14ac:dyDescent="0.3"/>
    <row r="746" s="54" customFormat="1" x14ac:dyDescent="0.3"/>
    <row r="747" s="54" customFormat="1" x14ac:dyDescent="0.3"/>
    <row r="748" s="54" customFormat="1" x14ac:dyDescent="0.3"/>
    <row r="749" s="54" customFormat="1" x14ac:dyDescent="0.3"/>
    <row r="750" s="54" customFormat="1" x14ac:dyDescent="0.3"/>
    <row r="751" s="54" customFormat="1" x14ac:dyDescent="0.3"/>
    <row r="752" s="54" customFormat="1" x14ac:dyDescent="0.3"/>
    <row r="753" s="54" customFormat="1" x14ac:dyDescent="0.3"/>
    <row r="754" s="54" customFormat="1" x14ac:dyDescent="0.3"/>
    <row r="755" s="54" customFormat="1" x14ac:dyDescent="0.3"/>
    <row r="756" s="54" customFormat="1" x14ac:dyDescent="0.3"/>
    <row r="757" s="54" customFormat="1" x14ac:dyDescent="0.3"/>
    <row r="758" s="54" customFormat="1" x14ac:dyDescent="0.3"/>
    <row r="759" s="54" customFormat="1" x14ac:dyDescent="0.3"/>
    <row r="760" s="54" customFormat="1" x14ac:dyDescent="0.3"/>
    <row r="761" s="54" customFormat="1" x14ac:dyDescent="0.3"/>
    <row r="762" s="54" customFormat="1" x14ac:dyDescent="0.3"/>
    <row r="763" s="54" customFormat="1" x14ac:dyDescent="0.3"/>
    <row r="764" s="54" customFormat="1" x14ac:dyDescent="0.3"/>
    <row r="765" s="54" customFormat="1" x14ac:dyDescent="0.3"/>
    <row r="766" s="54" customFormat="1" x14ac:dyDescent="0.3"/>
    <row r="767" s="54" customFormat="1" x14ac:dyDescent="0.3"/>
    <row r="768" s="54" customFormat="1" x14ac:dyDescent="0.3"/>
    <row r="769" s="54" customFormat="1" x14ac:dyDescent="0.3"/>
    <row r="770" s="54" customFormat="1" x14ac:dyDescent="0.3"/>
    <row r="771" s="54" customFormat="1" x14ac:dyDescent="0.3"/>
    <row r="772" s="54" customFormat="1" x14ac:dyDescent="0.3"/>
    <row r="773" s="54" customFormat="1" x14ac:dyDescent="0.3"/>
    <row r="774" s="54" customFormat="1" x14ac:dyDescent="0.3"/>
    <row r="775" s="54" customFormat="1" x14ac:dyDescent="0.3"/>
    <row r="776" s="54" customFormat="1" x14ac:dyDescent="0.3"/>
    <row r="777" s="54" customFormat="1" x14ac:dyDescent="0.3"/>
    <row r="778" s="54" customFormat="1" x14ac:dyDescent="0.3"/>
    <row r="779" s="54" customFormat="1" x14ac:dyDescent="0.3"/>
    <row r="780" s="54" customFormat="1" x14ac:dyDescent="0.3"/>
    <row r="781" s="54" customFormat="1" x14ac:dyDescent="0.3"/>
    <row r="782" s="54" customFormat="1" x14ac:dyDescent="0.3"/>
    <row r="783" s="54" customFormat="1" x14ac:dyDescent="0.3"/>
    <row r="784" s="54" customFormat="1" x14ac:dyDescent="0.3"/>
    <row r="785" s="54" customFormat="1" x14ac:dyDescent="0.3"/>
    <row r="786" s="54" customFormat="1" x14ac:dyDescent="0.3"/>
    <row r="787" s="54" customFormat="1" x14ac:dyDescent="0.3"/>
    <row r="788" s="54" customFormat="1" x14ac:dyDescent="0.3"/>
    <row r="789" s="54" customFormat="1" x14ac:dyDescent="0.3"/>
    <row r="790" s="54" customFormat="1" x14ac:dyDescent="0.3"/>
    <row r="791" s="54" customFormat="1" x14ac:dyDescent="0.3"/>
    <row r="792" s="54" customFormat="1" x14ac:dyDescent="0.3"/>
    <row r="793" s="54" customFormat="1" x14ac:dyDescent="0.3"/>
    <row r="794" s="54" customFormat="1" x14ac:dyDescent="0.3"/>
    <row r="795" s="54" customFormat="1" x14ac:dyDescent="0.3"/>
    <row r="796" s="54" customFormat="1" x14ac:dyDescent="0.3"/>
    <row r="797" s="54" customFormat="1" x14ac:dyDescent="0.3"/>
    <row r="798" s="54" customFormat="1" x14ac:dyDescent="0.3"/>
    <row r="799" s="54" customFormat="1" x14ac:dyDescent="0.3"/>
    <row r="800" s="54" customFormat="1" x14ac:dyDescent="0.3"/>
    <row r="801" s="54" customFormat="1" x14ac:dyDescent="0.3"/>
    <row r="802" s="54" customFormat="1" x14ac:dyDescent="0.3"/>
    <row r="803" s="54" customFormat="1" x14ac:dyDescent="0.3"/>
    <row r="804" s="54" customFormat="1" x14ac:dyDescent="0.3"/>
    <row r="805" s="54" customFormat="1" x14ac:dyDescent="0.3"/>
    <row r="806" s="54" customFormat="1" x14ac:dyDescent="0.3"/>
    <row r="807" s="54" customFormat="1" x14ac:dyDescent="0.3"/>
    <row r="808" s="54" customFormat="1" x14ac:dyDescent="0.3"/>
    <row r="809" s="54" customFormat="1" x14ac:dyDescent="0.3"/>
    <row r="810" s="54" customFormat="1" x14ac:dyDescent="0.3"/>
    <row r="811" s="54" customFormat="1" x14ac:dyDescent="0.3"/>
    <row r="812" s="54" customFormat="1" x14ac:dyDescent="0.3"/>
    <row r="813" s="54" customFormat="1" x14ac:dyDescent="0.3"/>
    <row r="814" s="54" customFormat="1" x14ac:dyDescent="0.3"/>
    <row r="815" s="54" customFormat="1" x14ac:dyDescent="0.3"/>
    <row r="816" s="54" customFormat="1" x14ac:dyDescent="0.3"/>
    <row r="817" s="54" customFormat="1" x14ac:dyDescent="0.3"/>
    <row r="818" s="54" customFormat="1" x14ac:dyDescent="0.3"/>
    <row r="819" s="54" customFormat="1" x14ac:dyDescent="0.3"/>
    <row r="820" s="54" customFormat="1" x14ac:dyDescent="0.3"/>
    <row r="821" s="54" customFormat="1" x14ac:dyDescent="0.3"/>
    <row r="822" s="54" customFormat="1" x14ac:dyDescent="0.3"/>
    <row r="823" s="54" customFormat="1" x14ac:dyDescent="0.3"/>
    <row r="824" s="54" customFormat="1" x14ac:dyDescent="0.3"/>
    <row r="825" s="54" customFormat="1" x14ac:dyDescent="0.3"/>
    <row r="826" s="54" customFormat="1" x14ac:dyDescent="0.3"/>
    <row r="827" s="54" customFormat="1" x14ac:dyDescent="0.3"/>
    <row r="828" s="54" customFormat="1" x14ac:dyDescent="0.3"/>
    <row r="829" s="54" customFormat="1" x14ac:dyDescent="0.3"/>
    <row r="830" s="54" customFormat="1" x14ac:dyDescent="0.3"/>
    <row r="831" s="54" customFormat="1" x14ac:dyDescent="0.3"/>
    <row r="832" s="54" customFormat="1" x14ac:dyDescent="0.3"/>
    <row r="833" s="54" customFormat="1" x14ac:dyDescent="0.3"/>
    <row r="834" s="54" customFormat="1" x14ac:dyDescent="0.3"/>
    <row r="835" s="54" customFormat="1" x14ac:dyDescent="0.3"/>
    <row r="836" s="54" customFormat="1" x14ac:dyDescent="0.3"/>
    <row r="837" s="54" customFormat="1" x14ac:dyDescent="0.3"/>
    <row r="838" s="54" customFormat="1" x14ac:dyDescent="0.3"/>
    <row r="839" s="54" customFormat="1" x14ac:dyDescent="0.3"/>
    <row r="840" s="54" customFormat="1" x14ac:dyDescent="0.3"/>
    <row r="841" s="54" customFormat="1" x14ac:dyDescent="0.3"/>
    <row r="842" s="54" customFormat="1" x14ac:dyDescent="0.3"/>
    <row r="843" s="54" customFormat="1" x14ac:dyDescent="0.3"/>
    <row r="844" s="54" customFormat="1" x14ac:dyDescent="0.3"/>
    <row r="845" s="54" customFormat="1" x14ac:dyDescent="0.3"/>
    <row r="846" s="54" customFormat="1" x14ac:dyDescent="0.3"/>
    <row r="847" s="54" customFormat="1" x14ac:dyDescent="0.3"/>
    <row r="848" s="54" customFormat="1" x14ac:dyDescent="0.3"/>
    <row r="849" s="54" customFormat="1" x14ac:dyDescent="0.3"/>
    <row r="850" s="54" customFormat="1" x14ac:dyDescent="0.3"/>
    <row r="851" s="54" customFormat="1" x14ac:dyDescent="0.3"/>
    <row r="852" s="54" customFormat="1" x14ac:dyDescent="0.3"/>
    <row r="853" s="54" customFormat="1" x14ac:dyDescent="0.3"/>
    <row r="854" s="54" customFormat="1" x14ac:dyDescent="0.3"/>
    <row r="855" s="54" customFormat="1" x14ac:dyDescent="0.3"/>
    <row r="856" s="54" customFormat="1" x14ac:dyDescent="0.3"/>
    <row r="857" s="54" customFormat="1" x14ac:dyDescent="0.3"/>
    <row r="858" s="54" customFormat="1" x14ac:dyDescent="0.3"/>
    <row r="859" s="54" customFormat="1" x14ac:dyDescent="0.3"/>
    <row r="860" s="54" customFormat="1" x14ac:dyDescent="0.3"/>
    <row r="861" s="54" customFormat="1" x14ac:dyDescent="0.3"/>
    <row r="862" s="54" customFormat="1" x14ac:dyDescent="0.3"/>
    <row r="863" s="54" customFormat="1" x14ac:dyDescent="0.3"/>
    <row r="864" s="54" customFormat="1" x14ac:dyDescent="0.3"/>
    <row r="865" s="54" customFormat="1" x14ac:dyDescent="0.3"/>
    <row r="866" s="54" customFormat="1" x14ac:dyDescent="0.3"/>
    <row r="867" s="54" customFormat="1" x14ac:dyDescent="0.3"/>
    <row r="868" s="54" customFormat="1" x14ac:dyDescent="0.3"/>
    <row r="869" s="54" customFormat="1" x14ac:dyDescent="0.3"/>
    <row r="870" s="54" customFormat="1" x14ac:dyDescent="0.3"/>
    <row r="871" s="54" customFormat="1" x14ac:dyDescent="0.3"/>
    <row r="872" s="54" customFormat="1" x14ac:dyDescent="0.3"/>
    <row r="873" s="54" customFormat="1" x14ac:dyDescent="0.3"/>
    <row r="874" s="54" customFormat="1" x14ac:dyDescent="0.3"/>
    <row r="875" s="54" customFormat="1" x14ac:dyDescent="0.3"/>
    <row r="876" s="54" customFormat="1" x14ac:dyDescent="0.3"/>
    <row r="877" s="54" customFormat="1" x14ac:dyDescent="0.3"/>
    <row r="878" s="54" customFormat="1" x14ac:dyDescent="0.3"/>
    <row r="879" s="54" customFormat="1" x14ac:dyDescent="0.3"/>
    <row r="880" s="54" customFormat="1" x14ac:dyDescent="0.3"/>
    <row r="881" s="54" customFormat="1" x14ac:dyDescent="0.3"/>
    <row r="882" s="54" customFormat="1" x14ac:dyDescent="0.3"/>
    <row r="883" s="54" customFormat="1" x14ac:dyDescent="0.3"/>
    <row r="884" s="54" customFormat="1" x14ac:dyDescent="0.3"/>
    <row r="885" s="54" customFormat="1" x14ac:dyDescent="0.3"/>
    <row r="886" s="54" customFormat="1" x14ac:dyDescent="0.3"/>
    <row r="887" s="54" customFormat="1" x14ac:dyDescent="0.3"/>
    <row r="888" s="54" customFormat="1" x14ac:dyDescent="0.3"/>
    <row r="889" s="54" customFormat="1" x14ac:dyDescent="0.3"/>
    <row r="890" s="54" customFormat="1" x14ac:dyDescent="0.3"/>
    <row r="891" s="54" customFormat="1" x14ac:dyDescent="0.3"/>
    <row r="892" s="54" customFormat="1" x14ac:dyDescent="0.3"/>
    <row r="893" s="54" customFormat="1" x14ac:dyDescent="0.3"/>
    <row r="894" s="54" customFormat="1" x14ac:dyDescent="0.3"/>
    <row r="895" s="54" customFormat="1" x14ac:dyDescent="0.3"/>
    <row r="896" s="54" customFormat="1" x14ac:dyDescent="0.3"/>
    <row r="897" s="54" customFormat="1" x14ac:dyDescent="0.3"/>
    <row r="898" s="54" customFormat="1" x14ac:dyDescent="0.3"/>
    <row r="899" s="54" customFormat="1" x14ac:dyDescent="0.3"/>
    <row r="900" s="54" customFormat="1" x14ac:dyDescent="0.3"/>
    <row r="901" s="54" customFormat="1" x14ac:dyDescent="0.3"/>
    <row r="902" s="54" customFormat="1" x14ac:dyDescent="0.3"/>
    <row r="903" s="54" customFormat="1" x14ac:dyDescent="0.3"/>
    <row r="904" s="54" customFormat="1" x14ac:dyDescent="0.3"/>
    <row r="905" s="54" customFormat="1" x14ac:dyDescent="0.3"/>
    <row r="906" s="54" customFormat="1" x14ac:dyDescent="0.3"/>
    <row r="907" s="54" customFormat="1" x14ac:dyDescent="0.3"/>
    <row r="908" s="54" customFormat="1" x14ac:dyDescent="0.3"/>
    <row r="909" s="54" customFormat="1" x14ac:dyDescent="0.3"/>
    <row r="910" s="54" customFormat="1" x14ac:dyDescent="0.3"/>
    <row r="911" s="54" customFormat="1" x14ac:dyDescent="0.3"/>
    <row r="912" s="54" customFormat="1" x14ac:dyDescent="0.3"/>
    <row r="913" s="54" customFormat="1" x14ac:dyDescent="0.3"/>
    <row r="914" s="54" customFormat="1" x14ac:dyDescent="0.3"/>
    <row r="915" s="54" customFormat="1" x14ac:dyDescent="0.3"/>
    <row r="916" s="54" customFormat="1" x14ac:dyDescent="0.3"/>
    <row r="917" s="54" customFormat="1" x14ac:dyDescent="0.3"/>
    <row r="918" s="54" customFormat="1" x14ac:dyDescent="0.3"/>
    <row r="919" s="54" customFormat="1" x14ac:dyDescent="0.3"/>
    <row r="920" s="54" customFormat="1" x14ac:dyDescent="0.3"/>
    <row r="921" s="54" customFormat="1" x14ac:dyDescent="0.3"/>
    <row r="922" s="54" customFormat="1" x14ac:dyDescent="0.3"/>
    <row r="923" s="54" customFormat="1" x14ac:dyDescent="0.3"/>
    <row r="924" s="54" customFormat="1" x14ac:dyDescent="0.3"/>
    <row r="925" s="54" customFormat="1" x14ac:dyDescent="0.3"/>
    <row r="926" s="54" customFormat="1" x14ac:dyDescent="0.3"/>
    <row r="927" s="54" customFormat="1" x14ac:dyDescent="0.3"/>
    <row r="928" s="54" customFormat="1" x14ac:dyDescent="0.3"/>
    <row r="929" s="54" customFormat="1" x14ac:dyDescent="0.3"/>
    <row r="930" s="54" customFormat="1" x14ac:dyDescent="0.3"/>
    <row r="931" s="54" customFormat="1" x14ac:dyDescent="0.3"/>
    <row r="932" s="54" customFormat="1" x14ac:dyDescent="0.3"/>
    <row r="933" s="54" customFormat="1" x14ac:dyDescent="0.3"/>
    <row r="934" s="54" customFormat="1" x14ac:dyDescent="0.3"/>
    <row r="935" s="54" customFormat="1" x14ac:dyDescent="0.3"/>
    <row r="936" s="54" customFormat="1" x14ac:dyDescent="0.3"/>
    <row r="937" s="54" customFormat="1" x14ac:dyDescent="0.3"/>
    <row r="938" s="54" customFormat="1" x14ac:dyDescent="0.3"/>
    <row r="939" s="54" customFormat="1" x14ac:dyDescent="0.3"/>
    <row r="940" s="54" customFormat="1" x14ac:dyDescent="0.3"/>
    <row r="941" s="54" customFormat="1" x14ac:dyDescent="0.3"/>
    <row r="942" s="54" customFormat="1" x14ac:dyDescent="0.3"/>
    <row r="943" s="54" customFormat="1" x14ac:dyDescent="0.3"/>
    <row r="944" s="54" customFormat="1" x14ac:dyDescent="0.3"/>
    <row r="945" s="54" customFormat="1" x14ac:dyDescent="0.3"/>
    <row r="946" s="54" customFormat="1" x14ac:dyDescent="0.3"/>
    <row r="947" s="54" customFormat="1" x14ac:dyDescent="0.3"/>
    <row r="948" s="54" customFormat="1" x14ac:dyDescent="0.3"/>
    <row r="949" s="54" customFormat="1" x14ac:dyDescent="0.3"/>
    <row r="950" s="54" customFormat="1" x14ac:dyDescent="0.3"/>
    <row r="951" s="54" customFormat="1" x14ac:dyDescent="0.3"/>
    <row r="952" s="54" customFormat="1" x14ac:dyDescent="0.3"/>
    <row r="953" s="54" customFormat="1" x14ac:dyDescent="0.3"/>
    <row r="954" s="54" customFormat="1" x14ac:dyDescent="0.3"/>
    <row r="955" s="54" customFormat="1" x14ac:dyDescent="0.3"/>
    <row r="956" s="54" customFormat="1" x14ac:dyDescent="0.3"/>
    <row r="957" s="54" customFormat="1" x14ac:dyDescent="0.3"/>
    <row r="958" s="54" customFormat="1" x14ac:dyDescent="0.3"/>
    <row r="959" s="54" customFormat="1" x14ac:dyDescent="0.3"/>
    <row r="960" s="54" customFormat="1" x14ac:dyDescent="0.3"/>
    <row r="961" s="54" customFormat="1" x14ac:dyDescent="0.3"/>
    <row r="962" s="54" customFormat="1" x14ac:dyDescent="0.3"/>
    <row r="963" s="54" customFormat="1" x14ac:dyDescent="0.3"/>
    <row r="964" s="54" customFormat="1" x14ac:dyDescent="0.3"/>
    <row r="965" s="54" customFormat="1" x14ac:dyDescent="0.3"/>
    <row r="966" s="54" customFormat="1" x14ac:dyDescent="0.3"/>
    <row r="967" s="54" customFormat="1" x14ac:dyDescent="0.3"/>
    <row r="968" s="54" customFormat="1" x14ac:dyDescent="0.3"/>
    <row r="969" s="54" customFormat="1" x14ac:dyDescent="0.3"/>
    <row r="970" s="54" customFormat="1" x14ac:dyDescent="0.3"/>
    <row r="971" s="54" customFormat="1" x14ac:dyDescent="0.3"/>
    <row r="972" s="54" customFormat="1" x14ac:dyDescent="0.3"/>
    <row r="973" s="54" customFormat="1" x14ac:dyDescent="0.3"/>
    <row r="974" s="54" customFormat="1" x14ac:dyDescent="0.3"/>
    <row r="975" s="54" customFormat="1" x14ac:dyDescent="0.3"/>
    <row r="976" s="54" customFormat="1" x14ac:dyDescent="0.3"/>
    <row r="977" s="54" customFormat="1" x14ac:dyDescent="0.3"/>
    <row r="978" s="54" customFormat="1" x14ac:dyDescent="0.3"/>
    <row r="979" s="54" customFormat="1" x14ac:dyDescent="0.3"/>
    <row r="980" s="54" customFormat="1" x14ac:dyDescent="0.3"/>
    <row r="981" s="54" customFormat="1" x14ac:dyDescent="0.3"/>
    <row r="982" s="54" customFormat="1" x14ac:dyDescent="0.3"/>
    <row r="983" s="54" customFormat="1" x14ac:dyDescent="0.3"/>
    <row r="984" s="54" customFormat="1" x14ac:dyDescent="0.3"/>
    <row r="985" s="54" customFormat="1" x14ac:dyDescent="0.3"/>
    <row r="986" s="54" customFormat="1" x14ac:dyDescent="0.3"/>
    <row r="987" s="54" customFormat="1" x14ac:dyDescent="0.3"/>
    <row r="988" s="54" customFormat="1" x14ac:dyDescent="0.3"/>
    <row r="989" s="54" customFormat="1" x14ac:dyDescent="0.3"/>
    <row r="990" s="54" customFormat="1" x14ac:dyDescent="0.3"/>
    <row r="991" s="54" customFormat="1" x14ac:dyDescent="0.3"/>
    <row r="992" s="54" customFormat="1" x14ac:dyDescent="0.3"/>
    <row r="993" s="54" customFormat="1" x14ac:dyDescent="0.3"/>
    <row r="994" s="54" customFormat="1" x14ac:dyDescent="0.3"/>
    <row r="995" s="54" customFormat="1" x14ac:dyDescent="0.3"/>
    <row r="996" s="54" customFormat="1" x14ac:dyDescent="0.3"/>
    <row r="997" s="54" customFormat="1" x14ac:dyDescent="0.3"/>
    <row r="998" s="54" customFormat="1" x14ac:dyDescent="0.3"/>
    <row r="999" s="54" customFormat="1" x14ac:dyDescent="0.3"/>
    <row r="1000" s="54" customFormat="1" x14ac:dyDescent="0.3"/>
    <row r="1001" s="54" customFormat="1" x14ac:dyDescent="0.3"/>
    <row r="1002" s="54" customFormat="1" x14ac:dyDescent="0.3"/>
    <row r="1003" s="54" customFormat="1" x14ac:dyDescent="0.3"/>
    <row r="1004" s="54" customFormat="1" x14ac:dyDescent="0.3"/>
    <row r="1005" s="54" customFormat="1" x14ac:dyDescent="0.3"/>
    <row r="1006" s="54" customFormat="1" x14ac:dyDescent="0.3"/>
    <row r="1007" s="54" customFormat="1" x14ac:dyDescent="0.3"/>
    <row r="1008" s="54" customFormat="1" x14ac:dyDescent="0.3"/>
    <row r="1009" s="54" customFormat="1" x14ac:dyDescent="0.3"/>
    <row r="1010" s="54" customFormat="1" x14ac:dyDescent="0.3"/>
    <row r="1011" s="54" customFormat="1" x14ac:dyDescent="0.3"/>
    <row r="1012" s="54" customFormat="1" x14ac:dyDescent="0.3"/>
    <row r="1013" s="54" customFormat="1" x14ac:dyDescent="0.3"/>
    <row r="1014" s="54" customFormat="1" x14ac:dyDescent="0.3"/>
    <row r="1015" s="54" customFormat="1" x14ac:dyDescent="0.3"/>
    <row r="1016" s="54" customFormat="1" x14ac:dyDescent="0.3"/>
    <row r="1017" s="54" customFormat="1" x14ac:dyDescent="0.3"/>
    <row r="1018" s="54" customFormat="1" x14ac:dyDescent="0.3"/>
    <row r="1019" s="54" customFormat="1" x14ac:dyDescent="0.3"/>
    <row r="1020" s="54" customFormat="1" x14ac:dyDescent="0.3"/>
    <row r="1021" s="54" customFormat="1" x14ac:dyDescent="0.3"/>
    <row r="1022" s="54" customFormat="1" x14ac:dyDescent="0.3"/>
    <row r="1023" s="54" customFormat="1" x14ac:dyDescent="0.3"/>
    <row r="1024" s="54" customFormat="1" x14ac:dyDescent="0.3"/>
    <row r="1025" s="54" customFormat="1" x14ac:dyDescent="0.3"/>
    <row r="1026" s="54" customFormat="1" x14ac:dyDescent="0.3"/>
    <row r="1027" s="54" customFormat="1" x14ac:dyDescent="0.3"/>
    <row r="1028" s="54" customFormat="1" x14ac:dyDescent="0.3"/>
    <row r="1029" s="54" customFormat="1" x14ac:dyDescent="0.3"/>
    <row r="1030" s="54" customFormat="1" x14ac:dyDescent="0.3"/>
    <row r="1031" s="54" customFormat="1" x14ac:dyDescent="0.3"/>
    <row r="1032" s="54" customFormat="1" x14ac:dyDescent="0.3"/>
    <row r="1033" s="54" customFormat="1" x14ac:dyDescent="0.3"/>
    <row r="1034" s="54" customFormat="1" x14ac:dyDescent="0.3"/>
    <row r="1035" s="54" customFormat="1" x14ac:dyDescent="0.3"/>
    <row r="1036" s="54" customFormat="1" x14ac:dyDescent="0.3"/>
    <row r="1037" s="54" customFormat="1" x14ac:dyDescent="0.3"/>
    <row r="1038" s="54" customFormat="1" x14ac:dyDescent="0.3"/>
    <row r="1039" s="54" customFormat="1" x14ac:dyDescent="0.3"/>
    <row r="1040" s="54" customFormat="1" x14ac:dyDescent="0.3"/>
    <row r="1041" s="54" customFormat="1" x14ac:dyDescent="0.3"/>
    <row r="1042" s="54" customFormat="1" x14ac:dyDescent="0.3"/>
    <row r="1043" s="54" customFormat="1" x14ac:dyDescent="0.3"/>
    <row r="1044" s="54" customFormat="1" x14ac:dyDescent="0.3"/>
    <row r="1045" s="54" customFormat="1" x14ac:dyDescent="0.3"/>
    <row r="1046" s="54" customFormat="1" x14ac:dyDescent="0.3"/>
    <row r="1047" s="54" customFormat="1" x14ac:dyDescent="0.3"/>
    <row r="1048" s="54" customFormat="1" x14ac:dyDescent="0.3"/>
    <row r="1049" s="54" customFormat="1" x14ac:dyDescent="0.3"/>
    <row r="1050" s="54" customFormat="1" x14ac:dyDescent="0.3"/>
    <row r="1051" s="54" customFormat="1" x14ac:dyDescent="0.3"/>
    <row r="1052" s="54" customFormat="1" x14ac:dyDescent="0.3"/>
    <row r="1053" s="54" customFormat="1" x14ac:dyDescent="0.3"/>
    <row r="1054" s="54" customFormat="1" x14ac:dyDescent="0.3"/>
    <row r="1055" s="54" customFormat="1" x14ac:dyDescent="0.3"/>
    <row r="1056" s="54" customFormat="1" x14ac:dyDescent="0.3"/>
    <row r="1057" s="54" customFormat="1" x14ac:dyDescent="0.3"/>
    <row r="1058" s="54" customFormat="1" x14ac:dyDescent="0.3"/>
    <row r="1059" s="54" customFormat="1" x14ac:dyDescent="0.3"/>
    <row r="1060" s="54" customFormat="1" x14ac:dyDescent="0.3"/>
    <row r="1061" s="54" customFormat="1" x14ac:dyDescent="0.3"/>
    <row r="1062" s="54" customFormat="1" x14ac:dyDescent="0.3"/>
    <row r="1063" s="54" customFormat="1" x14ac:dyDescent="0.3"/>
    <row r="1064" s="54" customFormat="1" x14ac:dyDescent="0.3"/>
    <row r="1065" s="54" customFormat="1" x14ac:dyDescent="0.3"/>
    <row r="1066" s="54" customFormat="1" x14ac:dyDescent="0.3"/>
    <row r="1067" s="54" customFormat="1" x14ac:dyDescent="0.3"/>
    <row r="1068" s="54" customFormat="1" x14ac:dyDescent="0.3"/>
    <row r="1069" s="54" customFormat="1" x14ac:dyDescent="0.3"/>
    <row r="1070" s="54" customFormat="1" x14ac:dyDescent="0.3"/>
    <row r="1071" s="54" customFormat="1" x14ac:dyDescent="0.3"/>
    <row r="1072" s="54" customFormat="1" x14ac:dyDescent="0.3"/>
    <row r="1073" s="54" customFormat="1" x14ac:dyDescent="0.3"/>
    <row r="1074" s="54" customFormat="1" x14ac:dyDescent="0.3"/>
    <row r="1075" s="54" customFormat="1" x14ac:dyDescent="0.3"/>
    <row r="1076" s="54" customFormat="1" x14ac:dyDescent="0.3"/>
    <row r="1077" s="54" customFormat="1" x14ac:dyDescent="0.3"/>
    <row r="1078" s="54" customFormat="1" x14ac:dyDescent="0.3"/>
    <row r="1079" s="54" customFormat="1" x14ac:dyDescent="0.3"/>
    <row r="1080" s="54" customFormat="1" x14ac:dyDescent="0.3"/>
    <row r="1081" s="54" customFormat="1" x14ac:dyDescent="0.3"/>
    <row r="1082" s="54" customFormat="1" x14ac:dyDescent="0.3"/>
    <row r="1083" s="54" customFormat="1" x14ac:dyDescent="0.3"/>
    <row r="1084" s="54" customFormat="1" x14ac:dyDescent="0.3"/>
    <row r="1085" s="54" customFormat="1" x14ac:dyDescent="0.3"/>
    <row r="1086" s="54" customFormat="1" x14ac:dyDescent="0.3"/>
    <row r="1087" s="54" customFormat="1" x14ac:dyDescent="0.3"/>
    <row r="1088" s="54" customFormat="1" x14ac:dyDescent="0.3"/>
    <row r="1089" s="54" customFormat="1" x14ac:dyDescent="0.3"/>
    <row r="1090" s="54" customFormat="1" x14ac:dyDescent="0.3"/>
    <row r="1091" s="54" customFormat="1" x14ac:dyDescent="0.3"/>
    <row r="1092" s="54" customFormat="1" x14ac:dyDescent="0.3"/>
    <row r="1093" s="54" customFormat="1" x14ac:dyDescent="0.3"/>
    <row r="1094" s="54" customFormat="1" x14ac:dyDescent="0.3"/>
    <row r="1095" s="54" customFormat="1" x14ac:dyDescent="0.3"/>
    <row r="1096" s="54" customFormat="1" x14ac:dyDescent="0.3"/>
    <row r="1097" s="54" customFormat="1" x14ac:dyDescent="0.3"/>
    <row r="1098" s="54" customFormat="1" x14ac:dyDescent="0.3"/>
    <row r="1099" s="54" customFormat="1" x14ac:dyDescent="0.3"/>
    <row r="1100" s="54" customFormat="1" x14ac:dyDescent="0.3"/>
    <row r="1101" s="54" customFormat="1" x14ac:dyDescent="0.3"/>
    <row r="1102" s="54" customFormat="1" x14ac:dyDescent="0.3"/>
    <row r="1103" s="54" customFormat="1" x14ac:dyDescent="0.3"/>
    <row r="1104" s="54" customFormat="1" x14ac:dyDescent="0.3"/>
    <row r="1105" s="54" customFormat="1" x14ac:dyDescent="0.3"/>
    <row r="1106" s="54" customFormat="1" x14ac:dyDescent="0.3"/>
    <row r="1107" s="54" customFormat="1" x14ac:dyDescent="0.3"/>
    <row r="1108" s="54" customFormat="1" x14ac:dyDescent="0.3"/>
    <row r="1109" s="54" customFormat="1" x14ac:dyDescent="0.3"/>
    <row r="1110" s="54" customFormat="1" x14ac:dyDescent="0.3"/>
    <row r="1111" s="54" customFormat="1" x14ac:dyDescent="0.3"/>
    <row r="1112" s="54" customFormat="1" x14ac:dyDescent="0.3"/>
    <row r="1113" s="54" customFormat="1" x14ac:dyDescent="0.3"/>
    <row r="1114" s="54" customFormat="1" x14ac:dyDescent="0.3"/>
    <row r="1115" s="54" customFormat="1" x14ac:dyDescent="0.3"/>
    <row r="1116" s="54" customFormat="1" x14ac:dyDescent="0.3"/>
    <row r="1117" s="54" customFormat="1" x14ac:dyDescent="0.3"/>
    <row r="1118" s="54" customFormat="1" x14ac:dyDescent="0.3"/>
    <row r="1119" s="54" customFormat="1" x14ac:dyDescent="0.3"/>
    <row r="1120" s="54" customFormat="1" x14ac:dyDescent="0.3"/>
    <row r="1121" s="54" customFormat="1" x14ac:dyDescent="0.3"/>
    <row r="1122" s="54" customFormat="1" x14ac:dyDescent="0.3"/>
    <row r="1123" s="54" customFormat="1" x14ac:dyDescent="0.3"/>
    <row r="1124" s="54" customFormat="1" x14ac:dyDescent="0.3"/>
    <row r="1125" s="54" customFormat="1" x14ac:dyDescent="0.3"/>
    <row r="1126" s="54" customFormat="1" x14ac:dyDescent="0.3"/>
    <row r="1127" s="54" customFormat="1" x14ac:dyDescent="0.3"/>
    <row r="1128" s="54" customFormat="1" x14ac:dyDescent="0.3"/>
    <row r="1129" s="54" customFormat="1" x14ac:dyDescent="0.3"/>
    <row r="1130" s="54" customFormat="1" x14ac:dyDescent="0.3"/>
    <row r="1131" s="54" customFormat="1" x14ac:dyDescent="0.3"/>
    <row r="1132" s="54" customFormat="1" x14ac:dyDescent="0.3"/>
    <row r="1133" s="54" customFormat="1" x14ac:dyDescent="0.3"/>
    <row r="1134" s="54" customFormat="1" x14ac:dyDescent="0.3"/>
    <row r="1135" s="54" customFormat="1" x14ac:dyDescent="0.3"/>
    <row r="1136" s="54" customFormat="1" x14ac:dyDescent="0.3"/>
    <row r="1137" s="54" customFormat="1" x14ac:dyDescent="0.3"/>
    <row r="1138" s="54" customFormat="1" x14ac:dyDescent="0.3"/>
    <row r="1139" s="54" customFormat="1" x14ac:dyDescent="0.3"/>
    <row r="1140" s="54" customFormat="1" x14ac:dyDescent="0.3"/>
    <row r="1141" s="54" customFormat="1" x14ac:dyDescent="0.3"/>
    <row r="1142" s="54" customFormat="1" x14ac:dyDescent="0.3"/>
    <row r="1143" s="54" customFormat="1" x14ac:dyDescent="0.3"/>
    <row r="1144" s="54" customFormat="1" x14ac:dyDescent="0.3"/>
    <row r="1145" s="54" customFormat="1" x14ac:dyDescent="0.3"/>
    <row r="1146" s="54" customFormat="1" x14ac:dyDescent="0.3"/>
    <row r="1147" s="54" customFormat="1" x14ac:dyDescent="0.3"/>
    <row r="1148" s="54" customFormat="1" x14ac:dyDescent="0.3"/>
    <row r="1149" s="54" customFormat="1" x14ac:dyDescent="0.3"/>
    <row r="1150" s="54" customFormat="1" x14ac:dyDescent="0.3"/>
    <row r="1151" s="54" customFormat="1" x14ac:dyDescent="0.3"/>
    <row r="1152" s="54" customFormat="1" x14ac:dyDescent="0.3"/>
    <row r="1153" s="54" customFormat="1" x14ac:dyDescent="0.3"/>
    <row r="1154" s="54" customFormat="1" x14ac:dyDescent="0.3"/>
    <row r="1155" s="54" customFormat="1" x14ac:dyDescent="0.3"/>
    <row r="1156" s="54" customFormat="1" x14ac:dyDescent="0.3"/>
    <row r="1157" s="54" customFormat="1" x14ac:dyDescent="0.3"/>
    <row r="1158" s="54" customFormat="1" x14ac:dyDescent="0.3"/>
    <row r="1159" s="54" customFormat="1" x14ac:dyDescent="0.3"/>
    <row r="1160" s="54" customFormat="1" x14ac:dyDescent="0.3"/>
    <row r="1161" s="54" customFormat="1" x14ac:dyDescent="0.3"/>
    <row r="1162" s="54" customFormat="1" x14ac:dyDescent="0.3"/>
    <row r="1163" s="54" customFormat="1" x14ac:dyDescent="0.3"/>
    <row r="1164" s="54" customFormat="1" x14ac:dyDescent="0.3"/>
    <row r="1165" s="54" customFormat="1" x14ac:dyDescent="0.3"/>
    <row r="1166" s="54" customFormat="1" x14ac:dyDescent="0.3"/>
    <row r="1167" s="54" customFormat="1" x14ac:dyDescent="0.3"/>
    <row r="1168" s="54" customFormat="1" x14ac:dyDescent="0.3"/>
    <row r="1169" s="54" customFormat="1" x14ac:dyDescent="0.3"/>
    <row r="1170" s="54" customFormat="1" x14ac:dyDescent="0.3"/>
    <row r="1171" s="54" customFormat="1" x14ac:dyDescent="0.3"/>
    <row r="1172" s="54" customFormat="1" x14ac:dyDescent="0.3"/>
    <row r="1173" s="54" customFormat="1" x14ac:dyDescent="0.3"/>
    <row r="1174" s="54" customFormat="1" x14ac:dyDescent="0.3"/>
    <row r="1175" s="54" customFormat="1" x14ac:dyDescent="0.3"/>
    <row r="1176" s="54" customFormat="1" x14ac:dyDescent="0.3"/>
    <row r="1177" s="54" customFormat="1" x14ac:dyDescent="0.3"/>
    <row r="1178" s="54" customFormat="1" x14ac:dyDescent="0.3"/>
    <row r="1179" s="54" customFormat="1" x14ac:dyDescent="0.3"/>
    <row r="1180" s="54" customFormat="1" x14ac:dyDescent="0.3"/>
    <row r="1181" s="54" customFormat="1" x14ac:dyDescent="0.3"/>
    <row r="1182" s="54" customFormat="1" x14ac:dyDescent="0.3"/>
    <row r="1183" s="54" customFormat="1" x14ac:dyDescent="0.3"/>
    <row r="1184" s="54" customFormat="1" x14ac:dyDescent="0.3"/>
    <row r="1185" s="54" customFormat="1" x14ac:dyDescent="0.3"/>
    <row r="1186" s="54" customFormat="1" x14ac:dyDescent="0.3"/>
    <row r="1187" s="54" customFormat="1" x14ac:dyDescent="0.3"/>
    <row r="1188" s="54" customFormat="1" x14ac:dyDescent="0.3"/>
    <row r="1189" s="54" customFormat="1" x14ac:dyDescent="0.3"/>
    <row r="1190" s="54" customFormat="1" x14ac:dyDescent="0.3"/>
    <row r="1191" s="54" customFormat="1" x14ac:dyDescent="0.3"/>
    <row r="1192" s="54" customFormat="1" x14ac:dyDescent="0.3"/>
    <row r="1193" s="54" customFormat="1" x14ac:dyDescent="0.3"/>
    <row r="1194" s="54" customFormat="1" x14ac:dyDescent="0.3"/>
    <row r="1195" s="54" customFormat="1" x14ac:dyDescent="0.3"/>
    <row r="1196" s="54" customFormat="1" x14ac:dyDescent="0.3"/>
    <row r="1197" s="54" customFormat="1" x14ac:dyDescent="0.3"/>
    <row r="1198" s="54" customFormat="1" x14ac:dyDescent="0.3"/>
    <row r="1199" s="54" customFormat="1" x14ac:dyDescent="0.3"/>
    <row r="1200" s="54" customFormat="1" x14ac:dyDescent="0.3"/>
    <row r="1201" s="54" customFormat="1" x14ac:dyDescent="0.3"/>
    <row r="1202" s="54" customFormat="1" x14ac:dyDescent="0.3"/>
    <row r="1203" s="54" customFormat="1" x14ac:dyDescent="0.3"/>
    <row r="1204" s="54" customFormat="1" x14ac:dyDescent="0.3"/>
    <row r="1205" s="54" customFormat="1" x14ac:dyDescent="0.3"/>
    <row r="1206" s="54" customFormat="1" x14ac:dyDescent="0.3"/>
    <row r="1207" s="54" customFormat="1" x14ac:dyDescent="0.3"/>
    <row r="1208" s="54" customFormat="1" x14ac:dyDescent="0.3"/>
    <row r="1209" s="54" customFormat="1" x14ac:dyDescent="0.3"/>
    <row r="1210" s="54" customFormat="1" x14ac:dyDescent="0.3"/>
    <row r="1211" s="54" customFormat="1" x14ac:dyDescent="0.3"/>
    <row r="1212" s="54" customFormat="1" x14ac:dyDescent="0.3"/>
    <row r="1213" s="54" customFormat="1" x14ac:dyDescent="0.3"/>
    <row r="1214" s="54" customFormat="1" x14ac:dyDescent="0.3"/>
    <row r="1215" s="54" customFormat="1" x14ac:dyDescent="0.3"/>
    <row r="1216" s="54" customFormat="1" x14ac:dyDescent="0.3"/>
    <row r="1217" s="54" customFormat="1" x14ac:dyDescent="0.3"/>
    <row r="1218" s="54" customFormat="1" x14ac:dyDescent="0.3"/>
    <row r="1219" s="54" customFormat="1" x14ac:dyDescent="0.3"/>
    <row r="1220" s="54" customFormat="1" x14ac:dyDescent="0.3"/>
    <row r="1221" s="54" customFormat="1" x14ac:dyDescent="0.3"/>
    <row r="1222" s="54" customFormat="1" x14ac:dyDescent="0.3"/>
    <row r="1223" s="54" customFormat="1" x14ac:dyDescent="0.3"/>
    <row r="1224" s="54" customFormat="1" x14ac:dyDescent="0.3"/>
    <row r="1225" s="54" customFormat="1" x14ac:dyDescent="0.3"/>
    <row r="1226" s="54" customFormat="1" x14ac:dyDescent="0.3"/>
    <row r="1227" s="54" customFormat="1" x14ac:dyDescent="0.3"/>
    <row r="1228" s="54" customFormat="1" x14ac:dyDescent="0.3"/>
    <row r="1229" s="54" customFormat="1" x14ac:dyDescent="0.3"/>
    <row r="1230" s="54" customFormat="1" x14ac:dyDescent="0.3"/>
    <row r="1231" s="54" customFormat="1" x14ac:dyDescent="0.3"/>
    <row r="1232" s="54" customFormat="1" x14ac:dyDescent="0.3"/>
    <row r="1233" s="54" customFormat="1" x14ac:dyDescent="0.3"/>
    <row r="1234" s="54" customFormat="1" x14ac:dyDescent="0.3"/>
    <row r="1235" s="54" customFormat="1" x14ac:dyDescent="0.3"/>
    <row r="1236" s="54" customFormat="1" x14ac:dyDescent="0.3"/>
    <row r="1237" s="54" customFormat="1" x14ac:dyDescent="0.3"/>
    <row r="1238" s="54" customFormat="1" x14ac:dyDescent="0.3"/>
    <row r="1239" s="54" customFormat="1" x14ac:dyDescent="0.3"/>
    <row r="1240" s="54" customFormat="1" x14ac:dyDescent="0.3"/>
    <row r="1241" s="54" customFormat="1" x14ac:dyDescent="0.3"/>
    <row r="1242" s="54" customFormat="1" x14ac:dyDescent="0.3"/>
    <row r="1243" s="54" customFormat="1" x14ac:dyDescent="0.3"/>
    <row r="1244" s="54" customFormat="1" x14ac:dyDescent="0.3"/>
    <row r="1245" s="54" customFormat="1" x14ac:dyDescent="0.3"/>
    <row r="1246" s="54" customFormat="1" x14ac:dyDescent="0.3"/>
    <row r="1247" s="54" customFormat="1" x14ac:dyDescent="0.3"/>
    <row r="1248" s="54" customFormat="1" x14ac:dyDescent="0.3"/>
    <row r="1249" s="54" customFormat="1" x14ac:dyDescent="0.3"/>
    <row r="1250" s="54" customFormat="1" x14ac:dyDescent="0.3"/>
    <row r="1251" s="54" customFormat="1" x14ac:dyDescent="0.3"/>
    <row r="1252" s="54" customFormat="1" x14ac:dyDescent="0.3"/>
    <row r="1253" s="54" customFormat="1" x14ac:dyDescent="0.3"/>
    <row r="1254" s="54" customFormat="1" x14ac:dyDescent="0.3"/>
    <row r="1255" s="54" customFormat="1" x14ac:dyDescent="0.3"/>
    <row r="1256" s="54" customFormat="1" x14ac:dyDescent="0.3"/>
    <row r="1257" s="54" customFormat="1" x14ac:dyDescent="0.3"/>
    <row r="1258" s="54" customFormat="1" x14ac:dyDescent="0.3"/>
    <row r="1259" s="54" customFormat="1" x14ac:dyDescent="0.3"/>
    <row r="1260" s="54" customFormat="1" x14ac:dyDescent="0.3"/>
    <row r="1261" s="54" customFormat="1" x14ac:dyDescent="0.3"/>
    <row r="1262" s="54" customFormat="1" x14ac:dyDescent="0.3"/>
    <row r="1263" s="54" customFormat="1" x14ac:dyDescent="0.3"/>
    <row r="1264" s="54" customFormat="1" x14ac:dyDescent="0.3"/>
    <row r="1265" s="54" customFormat="1" x14ac:dyDescent="0.3"/>
    <row r="1266" s="54" customFormat="1" x14ac:dyDescent="0.3"/>
    <row r="1267" s="54" customFormat="1" x14ac:dyDescent="0.3"/>
    <row r="1268" s="54" customFormat="1" x14ac:dyDescent="0.3"/>
    <row r="1269" s="54" customFormat="1" x14ac:dyDescent="0.3"/>
    <row r="1270" s="54" customFormat="1" x14ac:dyDescent="0.3"/>
    <row r="1271" s="54" customFormat="1" x14ac:dyDescent="0.3"/>
    <row r="1272" s="54" customFormat="1" x14ac:dyDescent="0.3"/>
    <row r="1273" s="54" customFormat="1" x14ac:dyDescent="0.3"/>
    <row r="1274" s="54" customFormat="1" x14ac:dyDescent="0.3"/>
    <row r="1275" s="54" customFormat="1" x14ac:dyDescent="0.3"/>
    <row r="1276" s="54" customFormat="1" x14ac:dyDescent="0.3"/>
    <row r="1277" s="54" customFormat="1" x14ac:dyDescent="0.3"/>
    <row r="1278" s="54" customFormat="1" x14ac:dyDescent="0.3"/>
    <row r="1279" s="54" customFormat="1" x14ac:dyDescent="0.3"/>
    <row r="1280" s="54" customFormat="1" x14ac:dyDescent="0.3"/>
    <row r="1281" s="54" customFormat="1" x14ac:dyDescent="0.3"/>
    <row r="1282" s="54" customFormat="1" x14ac:dyDescent="0.3"/>
    <row r="1283" s="54" customFormat="1" x14ac:dyDescent="0.3"/>
    <row r="1284" s="54" customFormat="1" x14ac:dyDescent="0.3"/>
    <row r="1285" s="54" customFormat="1" x14ac:dyDescent="0.3"/>
    <row r="1286" s="54" customFormat="1" x14ac:dyDescent="0.3"/>
    <row r="1287" s="54" customFormat="1" x14ac:dyDescent="0.3"/>
    <row r="1288" s="54" customFormat="1" x14ac:dyDescent="0.3"/>
    <row r="1289" s="54" customFormat="1" x14ac:dyDescent="0.3"/>
    <row r="1290" s="54" customFormat="1" x14ac:dyDescent="0.3"/>
    <row r="1291" s="54" customFormat="1" x14ac:dyDescent="0.3"/>
    <row r="1292" s="54" customFormat="1" x14ac:dyDescent="0.3"/>
    <row r="1293" s="54" customFormat="1" x14ac:dyDescent="0.3"/>
    <row r="1294" s="54" customFormat="1" x14ac:dyDescent="0.3"/>
    <row r="1295" s="54" customFormat="1" x14ac:dyDescent="0.3"/>
    <row r="1296" s="54" customFormat="1" x14ac:dyDescent="0.3"/>
    <row r="1297" s="54" customFormat="1" x14ac:dyDescent="0.3"/>
    <row r="1298" s="54" customFormat="1" x14ac:dyDescent="0.3"/>
    <row r="1299" s="54" customFormat="1" x14ac:dyDescent="0.3"/>
    <row r="1300" s="54" customFormat="1" x14ac:dyDescent="0.3"/>
    <row r="1301" s="54" customFormat="1" x14ac:dyDescent="0.3"/>
    <row r="1302" s="54" customFormat="1" x14ac:dyDescent="0.3"/>
    <row r="1303" s="54" customFormat="1" x14ac:dyDescent="0.3"/>
    <row r="1304" s="54" customFormat="1" x14ac:dyDescent="0.3"/>
    <row r="1305" s="54" customFormat="1" x14ac:dyDescent="0.3"/>
    <row r="1306" s="54" customFormat="1" x14ac:dyDescent="0.3"/>
    <row r="1307" s="54" customFormat="1" x14ac:dyDescent="0.3"/>
    <row r="1308" s="54" customFormat="1" x14ac:dyDescent="0.3"/>
    <row r="1309" s="54" customFormat="1" x14ac:dyDescent="0.3"/>
    <row r="1310" s="54" customFormat="1" x14ac:dyDescent="0.3"/>
    <row r="1311" s="54" customFormat="1" x14ac:dyDescent="0.3"/>
    <row r="1312" s="54" customFormat="1" x14ac:dyDescent="0.3"/>
    <row r="1313" s="54" customFormat="1" x14ac:dyDescent="0.3"/>
    <row r="1314" s="54" customFormat="1" x14ac:dyDescent="0.3"/>
    <row r="1315" s="54" customFormat="1" x14ac:dyDescent="0.3"/>
    <row r="1316" s="54" customFormat="1" x14ac:dyDescent="0.3"/>
    <row r="1317" s="54" customFormat="1" x14ac:dyDescent="0.3"/>
    <row r="1318" s="54" customFormat="1" x14ac:dyDescent="0.3"/>
    <row r="1319" s="54" customFormat="1" x14ac:dyDescent="0.3"/>
    <row r="1320" s="54" customFormat="1" x14ac:dyDescent="0.3"/>
    <row r="1321" s="54" customFormat="1" x14ac:dyDescent="0.3"/>
    <row r="1322" s="54" customFormat="1" x14ac:dyDescent="0.3"/>
    <row r="1323" s="54" customFormat="1" x14ac:dyDescent="0.3"/>
    <row r="1324" s="54" customFormat="1" x14ac:dyDescent="0.3"/>
    <row r="1325" s="54" customFormat="1" x14ac:dyDescent="0.3"/>
    <row r="1326" s="54" customFormat="1" x14ac:dyDescent="0.3"/>
    <row r="1327" s="54" customFormat="1" x14ac:dyDescent="0.3"/>
    <row r="1328" s="54" customFormat="1" x14ac:dyDescent="0.3"/>
    <row r="1329" s="54" customFormat="1" x14ac:dyDescent="0.3"/>
    <row r="1330" s="54" customFormat="1" x14ac:dyDescent="0.3"/>
    <row r="1331" s="54" customFormat="1" x14ac:dyDescent="0.3"/>
    <row r="1332" s="54" customFormat="1" x14ac:dyDescent="0.3"/>
    <row r="1333" s="54" customFormat="1" x14ac:dyDescent="0.3"/>
    <row r="1334" s="54" customFormat="1" x14ac:dyDescent="0.3"/>
    <row r="1335" s="54" customFormat="1" x14ac:dyDescent="0.3"/>
    <row r="1336" s="54" customFormat="1" x14ac:dyDescent="0.3"/>
    <row r="1337" s="54" customFormat="1" x14ac:dyDescent="0.3"/>
    <row r="1338" s="54" customFormat="1" x14ac:dyDescent="0.3"/>
    <row r="1339" s="54" customFormat="1" x14ac:dyDescent="0.3"/>
    <row r="1340" s="54" customFormat="1" x14ac:dyDescent="0.3"/>
    <row r="1341" s="54" customFormat="1" x14ac:dyDescent="0.3"/>
    <row r="1342" s="54" customFormat="1" x14ac:dyDescent="0.3"/>
    <row r="1343" s="54" customFormat="1" x14ac:dyDescent="0.3"/>
    <row r="1344" s="54" customFormat="1" x14ac:dyDescent="0.3"/>
    <row r="1345" s="54" customFormat="1" x14ac:dyDescent="0.3"/>
    <row r="1346" s="54" customFormat="1" x14ac:dyDescent="0.3"/>
    <row r="1347" s="54" customFormat="1" x14ac:dyDescent="0.3"/>
    <row r="1348" s="54" customFormat="1" x14ac:dyDescent="0.3"/>
    <row r="1349" s="54" customFormat="1" x14ac:dyDescent="0.3"/>
    <row r="1350" s="54" customFormat="1" x14ac:dyDescent="0.3"/>
    <row r="1351" s="54" customFormat="1" x14ac:dyDescent="0.3"/>
    <row r="1352" s="54" customFormat="1" x14ac:dyDescent="0.3"/>
    <row r="1353" s="54" customFormat="1" x14ac:dyDescent="0.3"/>
    <row r="1354" s="54" customFormat="1" x14ac:dyDescent="0.3"/>
    <row r="1355" s="54" customFormat="1" x14ac:dyDescent="0.3"/>
    <row r="1356" s="54" customFormat="1" x14ac:dyDescent="0.3"/>
    <row r="1357" s="54" customFormat="1" x14ac:dyDescent="0.3"/>
    <row r="1358" s="54" customFormat="1" x14ac:dyDescent="0.3"/>
    <row r="1359" s="54" customFormat="1" x14ac:dyDescent="0.3"/>
    <row r="1360" s="54" customFormat="1" x14ac:dyDescent="0.3"/>
    <row r="1361" s="54" customFormat="1" x14ac:dyDescent="0.3"/>
    <row r="1362" s="54" customFormat="1" x14ac:dyDescent="0.3"/>
    <row r="1363" s="54" customFormat="1" x14ac:dyDescent="0.3"/>
    <row r="1364" s="54" customFormat="1" x14ac:dyDescent="0.3"/>
    <row r="1365" s="54" customFormat="1" x14ac:dyDescent="0.3"/>
    <row r="1366" s="54" customFormat="1" x14ac:dyDescent="0.3"/>
    <row r="1367" s="54" customFormat="1" x14ac:dyDescent="0.3"/>
    <row r="1368" s="54" customFormat="1" x14ac:dyDescent="0.3"/>
    <row r="1369" s="54" customFormat="1" x14ac:dyDescent="0.3"/>
    <row r="1370" s="54" customFormat="1" x14ac:dyDescent="0.3"/>
    <row r="1371" s="54" customFormat="1" x14ac:dyDescent="0.3"/>
    <row r="1372" s="54" customFormat="1" x14ac:dyDescent="0.3"/>
    <row r="1373" s="54" customFormat="1" x14ac:dyDescent="0.3"/>
    <row r="1374" s="54" customFormat="1" x14ac:dyDescent="0.3"/>
    <row r="1375" s="54" customFormat="1" x14ac:dyDescent="0.3"/>
    <row r="1376" s="54" customFormat="1" x14ac:dyDescent="0.3"/>
    <row r="1377" s="54" customFormat="1" x14ac:dyDescent="0.3"/>
    <row r="1378" s="54" customFormat="1" x14ac:dyDescent="0.3"/>
    <row r="1379" s="54" customFormat="1" x14ac:dyDescent="0.3"/>
    <row r="1380" s="54" customFormat="1" x14ac:dyDescent="0.3"/>
    <row r="1381" s="54" customFormat="1" x14ac:dyDescent="0.3"/>
    <row r="1382" s="54" customFormat="1" x14ac:dyDescent="0.3"/>
    <row r="1383" s="54" customFormat="1" x14ac:dyDescent="0.3"/>
    <row r="1384" s="54" customFormat="1" x14ac:dyDescent="0.3"/>
    <row r="1385" s="54" customFormat="1" x14ac:dyDescent="0.3"/>
    <row r="1386" s="54" customFormat="1" x14ac:dyDescent="0.3"/>
    <row r="1387" s="54" customFormat="1" x14ac:dyDescent="0.3"/>
    <row r="1388" s="54" customFormat="1" x14ac:dyDescent="0.3"/>
    <row r="1389" s="54" customFormat="1" x14ac:dyDescent="0.3"/>
    <row r="1390" s="54" customFormat="1" x14ac:dyDescent="0.3"/>
    <row r="1391" s="54" customFormat="1" x14ac:dyDescent="0.3"/>
    <row r="1392" s="54" customFormat="1" x14ac:dyDescent="0.3"/>
    <row r="1393" s="54" customFormat="1" x14ac:dyDescent="0.3"/>
    <row r="1394" s="54" customFormat="1" x14ac:dyDescent="0.3"/>
    <row r="1395" s="54" customFormat="1" x14ac:dyDescent="0.3"/>
    <row r="1396" s="54" customFormat="1" x14ac:dyDescent="0.3"/>
    <row r="1397" s="54" customFormat="1" x14ac:dyDescent="0.3"/>
    <row r="1398" s="54" customFormat="1" x14ac:dyDescent="0.3"/>
    <row r="1399" s="54" customFormat="1" x14ac:dyDescent="0.3"/>
    <row r="1400" s="54" customFormat="1" x14ac:dyDescent="0.3"/>
    <row r="1401" s="54" customFormat="1" x14ac:dyDescent="0.3"/>
    <row r="1402" s="54" customFormat="1" x14ac:dyDescent="0.3"/>
    <row r="1403" s="54" customFormat="1" x14ac:dyDescent="0.3"/>
    <row r="1404" s="54" customFormat="1" x14ac:dyDescent="0.3"/>
    <row r="1405" s="54" customFormat="1" x14ac:dyDescent="0.3"/>
    <row r="1406" s="54" customFormat="1" x14ac:dyDescent="0.3"/>
    <row r="1407" s="54" customFormat="1" x14ac:dyDescent="0.3"/>
    <row r="1408" s="54" customFormat="1" x14ac:dyDescent="0.3"/>
    <row r="1409" s="54" customFormat="1" x14ac:dyDescent="0.3"/>
    <row r="1410" s="54" customFormat="1" x14ac:dyDescent="0.3"/>
    <row r="1411" s="54" customFormat="1" x14ac:dyDescent="0.3"/>
    <row r="1412" s="54" customFormat="1" x14ac:dyDescent="0.3"/>
    <row r="1413" s="54" customFormat="1" x14ac:dyDescent="0.3"/>
    <row r="1414" s="54" customFormat="1" x14ac:dyDescent="0.3"/>
    <row r="1415" s="54" customFormat="1" x14ac:dyDescent="0.3"/>
    <row r="1416" s="54" customFormat="1" x14ac:dyDescent="0.3"/>
    <row r="1417" s="54" customFormat="1" x14ac:dyDescent="0.3"/>
    <row r="1418" s="54" customFormat="1" x14ac:dyDescent="0.3"/>
    <row r="1419" s="54" customFormat="1" x14ac:dyDescent="0.3"/>
    <row r="1420" s="54" customFormat="1" x14ac:dyDescent="0.3"/>
    <row r="1421" s="54" customFormat="1" x14ac:dyDescent="0.3"/>
    <row r="1422" s="54" customFormat="1" x14ac:dyDescent="0.3"/>
    <row r="1423" s="54" customFormat="1" x14ac:dyDescent="0.3"/>
    <row r="1424" s="54" customFormat="1" x14ac:dyDescent="0.3"/>
    <row r="1425" s="54" customFormat="1" x14ac:dyDescent="0.3"/>
    <row r="1426" s="54" customFormat="1" x14ac:dyDescent="0.3"/>
    <row r="1427" s="54" customFormat="1" x14ac:dyDescent="0.3"/>
    <row r="1428" s="54" customFormat="1" x14ac:dyDescent="0.3"/>
    <row r="1429" s="54" customFormat="1" x14ac:dyDescent="0.3"/>
    <row r="1430" s="54" customFormat="1" x14ac:dyDescent="0.3"/>
    <row r="1431" s="54" customFormat="1" x14ac:dyDescent="0.3"/>
    <row r="1432" s="54" customFormat="1" x14ac:dyDescent="0.3"/>
    <row r="1433" s="54" customFormat="1" x14ac:dyDescent="0.3"/>
    <row r="1434" s="54" customFormat="1" x14ac:dyDescent="0.3"/>
    <row r="1435" s="54" customFormat="1" x14ac:dyDescent="0.3"/>
    <row r="1436" s="54" customFormat="1" x14ac:dyDescent="0.3"/>
    <row r="1437" s="54" customFormat="1" x14ac:dyDescent="0.3"/>
    <row r="1438" s="54" customFormat="1" x14ac:dyDescent="0.3"/>
    <row r="1439" s="54" customFormat="1" x14ac:dyDescent="0.3"/>
    <row r="1440" s="54" customFormat="1" x14ac:dyDescent="0.3"/>
    <row r="1441" s="54" customFormat="1" x14ac:dyDescent="0.3"/>
    <row r="1442" s="54" customFormat="1" x14ac:dyDescent="0.3"/>
    <row r="1443" s="54" customFormat="1" x14ac:dyDescent="0.3"/>
    <row r="1444" s="54" customFormat="1" x14ac:dyDescent="0.3"/>
    <row r="1445" s="54" customFormat="1" x14ac:dyDescent="0.3"/>
    <row r="1446" s="54" customFormat="1" x14ac:dyDescent="0.3"/>
    <row r="1447" s="54" customFormat="1" x14ac:dyDescent="0.3"/>
    <row r="1448" s="54" customFormat="1" x14ac:dyDescent="0.3"/>
    <row r="1449" s="54" customFormat="1" x14ac:dyDescent="0.3"/>
    <row r="1450" s="54" customFormat="1" x14ac:dyDescent="0.3"/>
    <row r="1451" s="54" customFormat="1" x14ac:dyDescent="0.3"/>
    <row r="1452" s="54" customFormat="1" x14ac:dyDescent="0.3"/>
    <row r="1453" s="54" customFormat="1" x14ac:dyDescent="0.3"/>
    <row r="1454" s="54" customFormat="1" x14ac:dyDescent="0.3"/>
    <row r="1455" s="54" customFormat="1" x14ac:dyDescent="0.3"/>
    <row r="1456" s="54" customFormat="1" x14ac:dyDescent="0.3"/>
    <row r="1457" s="54" customFormat="1" x14ac:dyDescent="0.3"/>
    <row r="1458" s="54" customFormat="1" x14ac:dyDescent="0.3"/>
    <row r="1459" s="54" customFormat="1" x14ac:dyDescent="0.3"/>
    <row r="1460" s="54" customFormat="1" x14ac:dyDescent="0.3"/>
    <row r="1461" s="54" customFormat="1" x14ac:dyDescent="0.3"/>
    <row r="1462" s="54" customFormat="1" x14ac:dyDescent="0.3"/>
    <row r="1463" s="54" customFormat="1" x14ac:dyDescent="0.3"/>
    <row r="1464" s="54" customFormat="1" x14ac:dyDescent="0.3"/>
    <row r="1465" s="54" customFormat="1" x14ac:dyDescent="0.3"/>
    <row r="1466" s="54" customFormat="1" x14ac:dyDescent="0.3"/>
    <row r="1467" s="54" customFormat="1" x14ac:dyDescent="0.3"/>
    <row r="1468" s="54" customFormat="1" x14ac:dyDescent="0.3"/>
    <row r="1469" s="54" customFormat="1" x14ac:dyDescent="0.3"/>
    <row r="1470" s="54" customFormat="1" x14ac:dyDescent="0.3"/>
    <row r="1471" s="54" customFormat="1" x14ac:dyDescent="0.3"/>
    <row r="1472" s="54" customFormat="1" x14ac:dyDescent="0.3"/>
    <row r="1473" s="54" customFormat="1" x14ac:dyDescent="0.3"/>
    <row r="1474" s="54" customFormat="1" x14ac:dyDescent="0.3"/>
    <row r="1475" s="54" customFormat="1" x14ac:dyDescent="0.3"/>
    <row r="1476" s="54" customFormat="1" x14ac:dyDescent="0.3"/>
    <row r="1477" s="54" customFormat="1" x14ac:dyDescent="0.3"/>
    <row r="1478" s="54" customFormat="1" x14ac:dyDescent="0.3"/>
    <row r="1479" s="54" customFormat="1" x14ac:dyDescent="0.3"/>
    <row r="1480" s="54" customFormat="1" x14ac:dyDescent="0.3"/>
    <row r="1481" s="54" customFormat="1" x14ac:dyDescent="0.3"/>
    <row r="1482" s="54" customFormat="1" x14ac:dyDescent="0.3"/>
    <row r="1483" s="54" customFormat="1" x14ac:dyDescent="0.3"/>
    <row r="1484" s="54" customFormat="1" x14ac:dyDescent="0.3"/>
    <row r="1485" s="54" customFormat="1" x14ac:dyDescent="0.3"/>
    <row r="1486" s="54" customFormat="1" x14ac:dyDescent="0.3"/>
    <row r="1487" s="54" customFormat="1" x14ac:dyDescent="0.3"/>
    <row r="1488" s="54" customFormat="1" x14ac:dyDescent="0.3"/>
    <row r="1489" s="54" customFormat="1" x14ac:dyDescent="0.3"/>
    <row r="1490" s="54" customFormat="1" x14ac:dyDescent="0.3"/>
    <row r="1491" s="54" customFormat="1" x14ac:dyDescent="0.3"/>
    <row r="1492" s="54" customFormat="1" x14ac:dyDescent="0.3"/>
    <row r="1493" s="54" customFormat="1" x14ac:dyDescent="0.3"/>
    <row r="1494" s="54" customFormat="1" x14ac:dyDescent="0.3"/>
    <row r="1495" s="54" customFormat="1" x14ac:dyDescent="0.3"/>
    <row r="1496" s="54" customFormat="1" x14ac:dyDescent="0.3"/>
    <row r="1497" s="54" customFormat="1" x14ac:dyDescent="0.3"/>
    <row r="1498" s="54" customFormat="1" x14ac:dyDescent="0.3"/>
    <row r="1499" s="54" customFormat="1" x14ac:dyDescent="0.3"/>
    <row r="1500" s="54" customFormat="1" x14ac:dyDescent="0.3"/>
    <row r="1501" s="54" customFormat="1" x14ac:dyDescent="0.3"/>
    <row r="1502" s="54" customFormat="1" x14ac:dyDescent="0.3"/>
    <row r="1503" s="54" customFormat="1" x14ac:dyDescent="0.3"/>
    <row r="1504" s="54" customFormat="1" x14ac:dyDescent="0.3"/>
    <row r="1505" s="54" customFormat="1" x14ac:dyDescent="0.3"/>
    <row r="1506" s="54" customFormat="1" x14ac:dyDescent="0.3"/>
    <row r="1507" s="54" customFormat="1" x14ac:dyDescent="0.3"/>
    <row r="1508" s="54" customFormat="1" x14ac:dyDescent="0.3"/>
    <row r="1509" s="54" customFormat="1" x14ac:dyDescent="0.3"/>
    <row r="1510" s="54" customFormat="1" x14ac:dyDescent="0.3"/>
    <row r="1511" s="54" customFormat="1" x14ac:dyDescent="0.3"/>
    <row r="1512" s="54" customFormat="1" x14ac:dyDescent="0.3"/>
    <row r="1513" s="54" customFormat="1" x14ac:dyDescent="0.3"/>
    <row r="1514" s="54" customFormat="1" x14ac:dyDescent="0.3"/>
    <row r="1515" s="54" customFormat="1" x14ac:dyDescent="0.3"/>
    <row r="1516" s="54" customFormat="1" x14ac:dyDescent="0.3"/>
    <row r="1517" s="54" customFormat="1" x14ac:dyDescent="0.3"/>
    <row r="1518" s="54" customFormat="1" x14ac:dyDescent="0.3"/>
    <row r="1519" s="54" customFormat="1" x14ac:dyDescent="0.3"/>
    <row r="1520" s="54" customFormat="1" x14ac:dyDescent="0.3"/>
    <row r="1521" s="54" customFormat="1" x14ac:dyDescent="0.3"/>
    <row r="1522" s="54" customFormat="1" x14ac:dyDescent="0.3"/>
    <row r="1523" s="54" customFormat="1" x14ac:dyDescent="0.3"/>
    <row r="1524" s="54" customFormat="1" x14ac:dyDescent="0.3"/>
    <row r="1525" s="54" customFormat="1" x14ac:dyDescent="0.3"/>
    <row r="1526" s="54" customFormat="1" x14ac:dyDescent="0.3"/>
    <row r="1527" s="54" customFormat="1" x14ac:dyDescent="0.3"/>
    <row r="1528" s="54" customFormat="1" x14ac:dyDescent="0.3"/>
    <row r="1529" s="54" customFormat="1" x14ac:dyDescent="0.3"/>
    <row r="1530" s="54" customFormat="1" x14ac:dyDescent="0.3"/>
    <row r="1531" s="54" customFormat="1" x14ac:dyDescent="0.3"/>
    <row r="1532" s="54" customFormat="1" x14ac:dyDescent="0.3"/>
    <row r="1533" s="54" customFormat="1" x14ac:dyDescent="0.3"/>
    <row r="1534" s="54" customFormat="1" x14ac:dyDescent="0.3"/>
    <row r="1535" s="54" customFormat="1" x14ac:dyDescent="0.3"/>
    <row r="1536" s="54" customFormat="1" x14ac:dyDescent="0.3"/>
    <row r="1537" s="54" customFormat="1" x14ac:dyDescent="0.3"/>
    <row r="1538" s="54" customFormat="1" x14ac:dyDescent="0.3"/>
    <row r="1539" s="54" customFormat="1" x14ac:dyDescent="0.3"/>
    <row r="1540" s="54" customFormat="1" x14ac:dyDescent="0.3"/>
    <row r="1541" s="54" customFormat="1" x14ac:dyDescent="0.3"/>
    <row r="1542" s="54" customFormat="1" x14ac:dyDescent="0.3"/>
    <row r="1543" s="54" customFormat="1" x14ac:dyDescent="0.3"/>
    <row r="1544" s="54" customFormat="1" x14ac:dyDescent="0.3"/>
    <row r="1545" s="54" customFormat="1" x14ac:dyDescent="0.3"/>
    <row r="1546" s="54" customFormat="1" x14ac:dyDescent="0.3"/>
    <row r="1547" s="54" customFormat="1" x14ac:dyDescent="0.3"/>
    <row r="1548" s="54" customFormat="1" x14ac:dyDescent="0.3"/>
    <row r="1549" s="54" customFormat="1" x14ac:dyDescent="0.3"/>
    <row r="1550" s="54" customFormat="1" x14ac:dyDescent="0.3"/>
    <row r="1551" s="54" customFormat="1" x14ac:dyDescent="0.3"/>
    <row r="1552" s="54" customFormat="1" x14ac:dyDescent="0.3"/>
    <row r="1553" s="54" customFormat="1" x14ac:dyDescent="0.3"/>
    <row r="1554" s="54" customFormat="1" x14ac:dyDescent="0.3"/>
    <row r="1555" s="54" customFormat="1" x14ac:dyDescent="0.3"/>
    <row r="1556" s="54" customFormat="1" x14ac:dyDescent="0.3"/>
    <row r="1557" s="54" customFormat="1" x14ac:dyDescent="0.3"/>
    <row r="1558" s="54" customFormat="1" x14ac:dyDescent="0.3"/>
    <row r="1559" s="54" customFormat="1" x14ac:dyDescent="0.3"/>
    <row r="1560" s="54" customFormat="1" x14ac:dyDescent="0.3"/>
    <row r="1561" s="54" customFormat="1" x14ac:dyDescent="0.3"/>
    <row r="1562" s="54" customFormat="1" x14ac:dyDescent="0.3"/>
    <row r="1563" s="54" customFormat="1" x14ac:dyDescent="0.3"/>
    <row r="1564" s="54" customFormat="1" x14ac:dyDescent="0.3"/>
    <row r="1565" s="54" customFormat="1" x14ac:dyDescent="0.3"/>
    <row r="1566" s="54" customFormat="1" x14ac:dyDescent="0.3"/>
    <row r="1567" s="54" customFormat="1" x14ac:dyDescent="0.3"/>
    <row r="1568" s="54" customFormat="1" x14ac:dyDescent="0.3"/>
    <row r="1569" s="54" customFormat="1" x14ac:dyDescent="0.3"/>
    <row r="1570" s="54" customFormat="1" x14ac:dyDescent="0.3"/>
    <row r="1571" s="54" customFormat="1" x14ac:dyDescent="0.3"/>
    <row r="1572" s="54" customFormat="1" x14ac:dyDescent="0.3"/>
    <row r="1573" s="54" customFormat="1" x14ac:dyDescent="0.3"/>
    <row r="1574" s="54" customFormat="1" x14ac:dyDescent="0.3"/>
    <row r="1575" s="54" customFormat="1" x14ac:dyDescent="0.3"/>
    <row r="1576" s="54" customFormat="1" x14ac:dyDescent="0.3"/>
    <row r="1577" s="54" customFormat="1" x14ac:dyDescent="0.3"/>
    <row r="1578" s="54" customFormat="1" x14ac:dyDescent="0.3"/>
    <row r="1579" s="54" customFormat="1" x14ac:dyDescent="0.3"/>
    <row r="1580" s="54" customFormat="1" x14ac:dyDescent="0.3"/>
    <row r="1581" s="54" customFormat="1" x14ac:dyDescent="0.3"/>
    <row r="1582" s="54" customFormat="1" x14ac:dyDescent="0.3"/>
    <row r="1583" s="54" customFormat="1" x14ac:dyDescent="0.3"/>
    <row r="1584" s="54" customFormat="1" x14ac:dyDescent="0.3"/>
    <row r="1585" s="54" customFormat="1" x14ac:dyDescent="0.3"/>
    <row r="1586" s="54" customFormat="1" x14ac:dyDescent="0.3"/>
    <row r="1587" s="54" customFormat="1" x14ac:dyDescent="0.3"/>
    <row r="1588" s="54" customFormat="1" x14ac:dyDescent="0.3"/>
    <row r="1589" s="54" customFormat="1" x14ac:dyDescent="0.3"/>
    <row r="1590" s="54" customFormat="1" x14ac:dyDescent="0.3"/>
    <row r="1591" s="54" customFormat="1" x14ac:dyDescent="0.3"/>
    <row r="1592" s="54" customFormat="1" x14ac:dyDescent="0.3"/>
    <row r="1593" s="54" customFormat="1" x14ac:dyDescent="0.3"/>
    <row r="1594" s="54" customFormat="1" x14ac:dyDescent="0.3"/>
    <row r="1595" s="54" customFormat="1" x14ac:dyDescent="0.3"/>
    <row r="1596" s="54" customFormat="1" x14ac:dyDescent="0.3"/>
    <row r="1597" s="54" customFormat="1" x14ac:dyDescent="0.3"/>
    <row r="1598" s="54" customFormat="1" x14ac:dyDescent="0.3"/>
    <row r="1599" s="54" customFormat="1" x14ac:dyDescent="0.3"/>
    <row r="1600" s="54" customFormat="1" x14ac:dyDescent="0.3"/>
    <row r="1601" s="54" customFormat="1" x14ac:dyDescent="0.3"/>
    <row r="1602" s="54" customFormat="1" x14ac:dyDescent="0.3"/>
    <row r="1603" s="54" customFormat="1" x14ac:dyDescent="0.3"/>
    <row r="1604" s="54" customFormat="1" x14ac:dyDescent="0.3"/>
    <row r="1605" s="54" customFormat="1" x14ac:dyDescent="0.3"/>
    <row r="1606" s="54" customFormat="1" x14ac:dyDescent="0.3"/>
    <row r="1607" s="54" customFormat="1" x14ac:dyDescent="0.3"/>
    <row r="1608" s="54" customFormat="1" x14ac:dyDescent="0.3"/>
    <row r="1609" s="54" customFormat="1" x14ac:dyDescent="0.3"/>
    <row r="1610" s="54" customFormat="1" x14ac:dyDescent="0.3"/>
    <row r="1611" s="54" customFormat="1" x14ac:dyDescent="0.3"/>
    <row r="1612" s="54" customFormat="1" x14ac:dyDescent="0.3"/>
    <row r="1613" s="54" customFormat="1" x14ac:dyDescent="0.3"/>
    <row r="1614" s="54" customFormat="1" x14ac:dyDescent="0.3"/>
    <row r="1615" s="54" customFormat="1" x14ac:dyDescent="0.3"/>
    <row r="1616" s="54" customFormat="1" x14ac:dyDescent="0.3"/>
    <row r="1617" s="54" customFormat="1" x14ac:dyDescent="0.3"/>
    <row r="1618" s="54" customFormat="1" x14ac:dyDescent="0.3"/>
    <row r="1619" s="54" customFormat="1" x14ac:dyDescent="0.3"/>
    <row r="1620" s="54" customFormat="1" x14ac:dyDescent="0.3"/>
    <row r="1621" s="54" customFormat="1" x14ac:dyDescent="0.3"/>
    <row r="1622" s="54" customFormat="1" x14ac:dyDescent="0.3"/>
    <row r="1623" s="54" customFormat="1" x14ac:dyDescent="0.3"/>
    <row r="1624" s="54" customFormat="1" x14ac:dyDescent="0.3"/>
    <row r="1625" s="54" customFormat="1" x14ac:dyDescent="0.3"/>
    <row r="1626" s="54" customFormat="1" x14ac:dyDescent="0.3"/>
    <row r="1627" s="54" customFormat="1" x14ac:dyDescent="0.3"/>
    <row r="1628" s="54" customFormat="1" x14ac:dyDescent="0.3"/>
    <row r="1629" s="54" customFormat="1" x14ac:dyDescent="0.3"/>
    <row r="1630" s="54" customFormat="1" x14ac:dyDescent="0.3"/>
    <row r="1631" s="54" customFormat="1" x14ac:dyDescent="0.3"/>
    <row r="1632" s="54" customFormat="1" x14ac:dyDescent="0.3"/>
    <row r="1633" s="54" customFormat="1" x14ac:dyDescent="0.3"/>
    <row r="1634" s="54" customFormat="1" x14ac:dyDescent="0.3"/>
    <row r="1635" s="54" customFormat="1" x14ac:dyDescent="0.3"/>
    <row r="1636" s="54" customFormat="1" x14ac:dyDescent="0.3"/>
    <row r="1637" s="54" customFormat="1" x14ac:dyDescent="0.3"/>
    <row r="1638" s="54" customFormat="1" x14ac:dyDescent="0.3"/>
    <row r="1639" s="54" customFormat="1" x14ac:dyDescent="0.3"/>
    <row r="1640" s="54" customFormat="1" x14ac:dyDescent="0.3"/>
    <row r="1641" s="54" customFormat="1" x14ac:dyDescent="0.3"/>
    <row r="1642" s="54" customFormat="1" x14ac:dyDescent="0.3"/>
    <row r="1643" s="54" customFormat="1" x14ac:dyDescent="0.3"/>
    <row r="1644" s="54" customFormat="1" x14ac:dyDescent="0.3"/>
    <row r="1645" s="54" customFormat="1" x14ac:dyDescent="0.3"/>
    <row r="1646" s="54" customFormat="1" x14ac:dyDescent="0.3"/>
    <row r="1647" s="54" customFormat="1" x14ac:dyDescent="0.3"/>
    <row r="1648" s="54" customFormat="1" x14ac:dyDescent="0.3"/>
    <row r="1649" s="54" customFormat="1" x14ac:dyDescent="0.3"/>
    <row r="1650" s="54" customFormat="1" x14ac:dyDescent="0.3"/>
    <row r="1651" s="54" customFormat="1" x14ac:dyDescent="0.3"/>
    <row r="1652" s="54" customFormat="1" x14ac:dyDescent="0.3"/>
    <row r="1653" s="54" customFormat="1" x14ac:dyDescent="0.3"/>
    <row r="1654" s="54" customFormat="1" x14ac:dyDescent="0.3"/>
    <row r="1655" s="54" customFormat="1" x14ac:dyDescent="0.3"/>
    <row r="1656" s="54" customFormat="1" x14ac:dyDescent="0.3"/>
    <row r="1657" s="54" customFormat="1" x14ac:dyDescent="0.3"/>
    <row r="1658" s="54" customFormat="1" x14ac:dyDescent="0.3"/>
    <row r="1659" s="54" customFormat="1" x14ac:dyDescent="0.3"/>
    <row r="1660" s="54" customFormat="1" x14ac:dyDescent="0.3"/>
    <row r="1661" s="54" customFormat="1" x14ac:dyDescent="0.3"/>
    <row r="1662" s="54" customFormat="1" x14ac:dyDescent="0.3"/>
    <row r="1663" s="54" customFormat="1" x14ac:dyDescent="0.3"/>
    <row r="1664" s="54" customFormat="1" x14ac:dyDescent="0.3"/>
    <row r="1665" s="54" customFormat="1" x14ac:dyDescent="0.3"/>
    <row r="1666" s="54" customFormat="1" x14ac:dyDescent="0.3"/>
    <row r="1667" s="54" customFormat="1" x14ac:dyDescent="0.3"/>
    <row r="1668" s="54" customFormat="1" x14ac:dyDescent="0.3"/>
    <row r="1669" s="54" customFormat="1" x14ac:dyDescent="0.3"/>
    <row r="1670" s="54" customFormat="1" x14ac:dyDescent="0.3"/>
    <row r="1671" s="54" customFormat="1" x14ac:dyDescent="0.3"/>
    <row r="1672" s="54" customFormat="1" x14ac:dyDescent="0.3"/>
    <row r="1673" s="54" customFormat="1" x14ac:dyDescent="0.3"/>
    <row r="1674" s="54" customFormat="1" x14ac:dyDescent="0.3"/>
    <row r="1675" s="54" customFormat="1" x14ac:dyDescent="0.3"/>
    <row r="1676" s="54" customFormat="1" x14ac:dyDescent="0.3"/>
    <row r="1677" s="54" customFormat="1" x14ac:dyDescent="0.3"/>
    <row r="1678" s="54" customFormat="1" x14ac:dyDescent="0.3"/>
    <row r="1679" s="54" customFormat="1" x14ac:dyDescent="0.3"/>
    <row r="1680" s="54" customFormat="1" x14ac:dyDescent="0.3"/>
    <row r="1681" s="54" customFormat="1" x14ac:dyDescent="0.3"/>
    <row r="1682" s="54" customFormat="1" x14ac:dyDescent="0.3"/>
    <row r="1683" s="54" customFormat="1" x14ac:dyDescent="0.3"/>
    <row r="1684" s="54" customFormat="1" x14ac:dyDescent="0.3"/>
    <row r="1685" s="54" customFormat="1" x14ac:dyDescent="0.3"/>
    <row r="1686" s="54" customFormat="1" x14ac:dyDescent="0.3"/>
    <row r="1687" s="54" customFormat="1" x14ac:dyDescent="0.3"/>
    <row r="1688" s="54" customFormat="1" x14ac:dyDescent="0.3"/>
    <row r="1689" s="54" customFormat="1" x14ac:dyDescent="0.3"/>
    <row r="1690" s="54" customFormat="1" x14ac:dyDescent="0.3"/>
    <row r="1691" s="54" customFormat="1" x14ac:dyDescent="0.3"/>
    <row r="1692" s="54" customFormat="1" x14ac:dyDescent="0.3"/>
    <row r="1693" s="54" customFormat="1" x14ac:dyDescent="0.3"/>
    <row r="1694" s="54" customFormat="1" x14ac:dyDescent="0.3"/>
    <row r="1695" s="54" customFormat="1" x14ac:dyDescent="0.3"/>
    <row r="1696" s="54" customFormat="1" x14ac:dyDescent="0.3"/>
    <row r="1697" s="54" customFormat="1" x14ac:dyDescent="0.3"/>
    <row r="1698" s="54" customFormat="1" x14ac:dyDescent="0.3"/>
    <row r="1699" s="54" customFormat="1" x14ac:dyDescent="0.3"/>
    <row r="1700" s="54" customFormat="1" x14ac:dyDescent="0.3"/>
    <row r="1701" s="54" customFormat="1" x14ac:dyDescent="0.3"/>
    <row r="1702" s="54" customFormat="1" x14ac:dyDescent="0.3"/>
    <row r="1703" s="54" customFormat="1" x14ac:dyDescent="0.3"/>
    <row r="1704" s="54" customFormat="1" x14ac:dyDescent="0.3"/>
    <row r="1705" s="54" customFormat="1" x14ac:dyDescent="0.3"/>
    <row r="1706" s="54" customFormat="1" x14ac:dyDescent="0.3"/>
    <row r="1707" s="54" customFormat="1" x14ac:dyDescent="0.3"/>
    <row r="1708" s="54" customFormat="1" x14ac:dyDescent="0.3"/>
    <row r="1709" s="54" customFormat="1" x14ac:dyDescent="0.3"/>
    <row r="1710" s="54" customFormat="1" x14ac:dyDescent="0.3"/>
    <row r="1711" s="54" customFormat="1" x14ac:dyDescent="0.3"/>
    <row r="1712" s="54" customFormat="1" x14ac:dyDescent="0.3"/>
    <row r="1713" s="54" customFormat="1" x14ac:dyDescent="0.3"/>
    <row r="1714" s="54" customFormat="1" x14ac:dyDescent="0.3"/>
    <row r="1715" s="54" customFormat="1" x14ac:dyDescent="0.3"/>
    <row r="1716" s="54" customFormat="1" x14ac:dyDescent="0.3"/>
    <row r="1717" s="54" customFormat="1" x14ac:dyDescent="0.3"/>
    <row r="1718" s="54" customFormat="1" x14ac:dyDescent="0.3"/>
    <row r="1719" s="54" customFormat="1" x14ac:dyDescent="0.3"/>
    <row r="1720" s="54" customFormat="1" x14ac:dyDescent="0.3"/>
    <row r="1721" s="54" customFormat="1" x14ac:dyDescent="0.3"/>
    <row r="1722" s="54" customFormat="1" x14ac:dyDescent="0.3"/>
    <row r="1723" s="54" customFormat="1" x14ac:dyDescent="0.3"/>
    <row r="1724" s="54" customFormat="1" x14ac:dyDescent="0.3"/>
    <row r="1725" s="54" customFormat="1" x14ac:dyDescent="0.3"/>
    <row r="1726" s="54" customFormat="1" x14ac:dyDescent="0.3"/>
    <row r="1727" s="54" customFormat="1" x14ac:dyDescent="0.3"/>
    <row r="1728" s="54" customFormat="1" x14ac:dyDescent="0.3"/>
    <row r="1729" s="54" customFormat="1" x14ac:dyDescent="0.3"/>
    <row r="1730" s="54" customFormat="1" x14ac:dyDescent="0.3"/>
    <row r="1731" s="54" customFormat="1" x14ac:dyDescent="0.3"/>
    <row r="1732" s="54" customFormat="1" x14ac:dyDescent="0.3"/>
    <row r="1733" s="54" customFormat="1" x14ac:dyDescent="0.3"/>
    <row r="1734" s="54" customFormat="1" x14ac:dyDescent="0.3"/>
    <row r="1735" s="54" customFormat="1" x14ac:dyDescent="0.3"/>
    <row r="1736" s="54" customFormat="1" x14ac:dyDescent="0.3"/>
    <row r="1737" s="54" customFormat="1" x14ac:dyDescent="0.3"/>
    <row r="1738" s="54" customFormat="1" x14ac:dyDescent="0.3"/>
    <row r="1739" s="54" customFormat="1" x14ac:dyDescent="0.3"/>
    <row r="1740" s="54" customFormat="1" x14ac:dyDescent="0.3"/>
    <row r="1741" s="54" customFormat="1" x14ac:dyDescent="0.3"/>
    <row r="1742" s="54" customFormat="1" x14ac:dyDescent="0.3"/>
    <row r="1743" s="54" customFormat="1" x14ac:dyDescent="0.3"/>
    <row r="1744" s="54" customFormat="1" x14ac:dyDescent="0.3"/>
    <row r="1745" s="54" customFormat="1" x14ac:dyDescent="0.3"/>
    <row r="1746" s="54" customFormat="1" x14ac:dyDescent="0.3"/>
    <row r="1747" s="54" customFormat="1" x14ac:dyDescent="0.3"/>
    <row r="1748" s="54" customFormat="1" x14ac:dyDescent="0.3"/>
    <row r="1749" s="54" customFormat="1" x14ac:dyDescent="0.3"/>
    <row r="1750" s="54" customFormat="1" x14ac:dyDescent="0.3"/>
    <row r="1751" s="54" customFormat="1" x14ac:dyDescent="0.3"/>
    <row r="1752" s="54" customFormat="1" x14ac:dyDescent="0.3"/>
    <row r="1753" s="54" customFormat="1" x14ac:dyDescent="0.3"/>
    <row r="1754" s="54" customFormat="1" x14ac:dyDescent="0.3"/>
    <row r="1755" s="54" customFormat="1" x14ac:dyDescent="0.3"/>
    <row r="1756" s="54" customFormat="1" x14ac:dyDescent="0.3"/>
    <row r="1757" s="54" customFormat="1" x14ac:dyDescent="0.3"/>
    <row r="1758" s="54" customFormat="1" x14ac:dyDescent="0.3"/>
    <row r="1759" s="54" customFormat="1" x14ac:dyDescent="0.3"/>
    <row r="1760" s="54" customFormat="1" x14ac:dyDescent="0.3"/>
    <row r="1761" s="54" customFormat="1" x14ac:dyDescent="0.3"/>
    <row r="1762" s="54" customFormat="1" x14ac:dyDescent="0.3"/>
    <row r="1763" s="54" customFormat="1" x14ac:dyDescent="0.3"/>
    <row r="1764" s="54" customFormat="1" x14ac:dyDescent="0.3"/>
    <row r="1765" s="54" customFormat="1" x14ac:dyDescent="0.3"/>
    <row r="1766" s="54" customFormat="1" x14ac:dyDescent="0.3"/>
    <row r="1767" s="54" customFormat="1" x14ac:dyDescent="0.3"/>
    <row r="1768" s="54" customFormat="1" x14ac:dyDescent="0.3"/>
    <row r="1769" s="54" customFormat="1" x14ac:dyDescent="0.3"/>
    <row r="1770" s="54" customFormat="1" x14ac:dyDescent="0.3"/>
    <row r="1771" s="54" customFormat="1" x14ac:dyDescent="0.3"/>
    <row r="1772" s="54" customFormat="1" x14ac:dyDescent="0.3"/>
    <row r="1773" s="54" customFormat="1" x14ac:dyDescent="0.3"/>
    <row r="1774" s="54" customFormat="1" x14ac:dyDescent="0.3"/>
    <row r="1775" s="54" customFormat="1" x14ac:dyDescent="0.3"/>
    <row r="1776" s="54" customFormat="1" x14ac:dyDescent="0.3"/>
    <row r="1777" s="54" customFormat="1" x14ac:dyDescent="0.3"/>
    <row r="1778" s="54" customFormat="1" x14ac:dyDescent="0.3"/>
    <row r="1779" s="54" customFormat="1" x14ac:dyDescent="0.3"/>
    <row r="1780" s="54" customFormat="1" x14ac:dyDescent="0.3"/>
    <row r="1781" s="54" customFormat="1" x14ac:dyDescent="0.3"/>
    <row r="1782" s="54" customFormat="1" x14ac:dyDescent="0.3"/>
    <row r="1783" s="54" customFormat="1" x14ac:dyDescent="0.3"/>
    <row r="1784" s="54" customFormat="1" x14ac:dyDescent="0.3"/>
    <row r="1785" s="54" customFormat="1" x14ac:dyDescent="0.3"/>
    <row r="1786" s="54" customFormat="1" x14ac:dyDescent="0.3"/>
    <row r="1787" s="54" customFormat="1" x14ac:dyDescent="0.3"/>
    <row r="1788" s="54" customFormat="1" x14ac:dyDescent="0.3"/>
    <row r="1789" s="54" customFormat="1" x14ac:dyDescent="0.3"/>
    <row r="1790" s="54" customFormat="1" x14ac:dyDescent="0.3"/>
    <row r="1791" s="54" customFormat="1" x14ac:dyDescent="0.3"/>
    <row r="1792" s="54" customFormat="1" x14ac:dyDescent="0.3"/>
    <row r="1793" s="54" customFormat="1" x14ac:dyDescent="0.3"/>
    <row r="1794" s="54" customFormat="1" x14ac:dyDescent="0.3"/>
    <row r="1795" s="54" customFormat="1" x14ac:dyDescent="0.3"/>
    <row r="1796" s="54" customFormat="1" x14ac:dyDescent="0.3"/>
    <row r="1797" s="54" customFormat="1" x14ac:dyDescent="0.3"/>
    <row r="1798" s="54" customFormat="1" x14ac:dyDescent="0.3"/>
    <row r="1799" s="54" customFormat="1" x14ac:dyDescent="0.3"/>
    <row r="1800" s="54" customFormat="1" x14ac:dyDescent="0.3"/>
    <row r="1801" s="54" customFormat="1" x14ac:dyDescent="0.3"/>
    <row r="1802" s="54" customFormat="1" x14ac:dyDescent="0.3"/>
    <row r="1803" s="54" customFormat="1" x14ac:dyDescent="0.3"/>
    <row r="1804" s="54" customFormat="1" x14ac:dyDescent="0.3"/>
    <row r="1805" s="54" customFormat="1" x14ac:dyDescent="0.3"/>
    <row r="1806" s="54" customFormat="1" x14ac:dyDescent="0.3"/>
    <row r="1807" s="54" customFormat="1" x14ac:dyDescent="0.3"/>
    <row r="1808" s="54" customFormat="1" x14ac:dyDescent="0.3"/>
    <row r="1809" s="54" customFormat="1" x14ac:dyDescent="0.3"/>
    <row r="1810" s="54" customFormat="1" x14ac:dyDescent="0.3"/>
    <row r="1811" s="54" customFormat="1" x14ac:dyDescent="0.3"/>
    <row r="1812" s="54" customFormat="1" x14ac:dyDescent="0.3"/>
    <row r="1813" s="54" customFormat="1" x14ac:dyDescent="0.3"/>
    <row r="1814" s="54" customFormat="1" x14ac:dyDescent="0.3"/>
    <row r="1815" s="54" customFormat="1" x14ac:dyDescent="0.3"/>
    <row r="1816" s="54" customFormat="1" x14ac:dyDescent="0.3"/>
    <row r="1817" s="54" customFormat="1" x14ac:dyDescent="0.3"/>
    <row r="1818" s="54" customFormat="1" x14ac:dyDescent="0.3"/>
    <row r="1819" s="54" customFormat="1" x14ac:dyDescent="0.3"/>
    <row r="1820" s="54" customFormat="1" x14ac:dyDescent="0.3"/>
    <row r="1821" s="54" customFormat="1" x14ac:dyDescent="0.3"/>
    <row r="1822" s="54" customFormat="1" x14ac:dyDescent="0.3"/>
    <row r="1823" s="54" customFormat="1" x14ac:dyDescent="0.3"/>
    <row r="1824" s="54" customFormat="1" x14ac:dyDescent="0.3"/>
    <row r="1825" s="54" customFormat="1" x14ac:dyDescent="0.3"/>
    <row r="1826" s="54" customFormat="1" x14ac:dyDescent="0.3"/>
    <row r="1827" s="54" customFormat="1" x14ac:dyDescent="0.3"/>
    <row r="1828" s="54" customFormat="1" x14ac:dyDescent="0.3"/>
    <row r="1829" s="54" customFormat="1" x14ac:dyDescent="0.3"/>
    <row r="1830" s="54" customFormat="1" x14ac:dyDescent="0.3"/>
    <row r="1831" s="54" customFormat="1" x14ac:dyDescent="0.3"/>
    <row r="1832" s="54" customFormat="1" x14ac:dyDescent="0.3"/>
    <row r="1833" s="54" customFormat="1" x14ac:dyDescent="0.3"/>
    <row r="1834" s="54" customFormat="1" x14ac:dyDescent="0.3"/>
    <row r="1835" s="54" customFormat="1" x14ac:dyDescent="0.3"/>
    <row r="1836" s="54" customFormat="1" x14ac:dyDescent="0.3"/>
    <row r="1837" s="54" customFormat="1" x14ac:dyDescent="0.3"/>
    <row r="1838" s="54" customFormat="1" x14ac:dyDescent="0.3"/>
    <row r="1839" s="54" customFormat="1" x14ac:dyDescent="0.3"/>
    <row r="1840" s="54" customFormat="1" x14ac:dyDescent="0.3"/>
    <row r="1841" s="54" customFormat="1" x14ac:dyDescent="0.3"/>
    <row r="1842" s="54" customFormat="1" x14ac:dyDescent="0.3"/>
    <row r="1843" s="54" customFormat="1" x14ac:dyDescent="0.3"/>
    <row r="1844" s="54" customFormat="1" x14ac:dyDescent="0.3"/>
    <row r="1845" s="54" customFormat="1" x14ac:dyDescent="0.3"/>
    <row r="1846" s="54" customFormat="1" x14ac:dyDescent="0.3"/>
    <row r="1847" s="54" customFormat="1" x14ac:dyDescent="0.3"/>
    <row r="1848" s="54" customFormat="1" x14ac:dyDescent="0.3"/>
    <row r="1849" s="54" customFormat="1" x14ac:dyDescent="0.3"/>
    <row r="1850" s="54" customFormat="1" x14ac:dyDescent="0.3"/>
    <row r="1851" s="54" customFormat="1" x14ac:dyDescent="0.3"/>
    <row r="1852" s="54" customFormat="1" x14ac:dyDescent="0.3"/>
    <row r="1853" s="54" customFormat="1" x14ac:dyDescent="0.3"/>
    <row r="1854" s="54" customFormat="1" x14ac:dyDescent="0.3"/>
    <row r="1855" s="54" customFormat="1" x14ac:dyDescent="0.3"/>
    <row r="1856" s="54" customFormat="1" x14ac:dyDescent="0.3"/>
    <row r="1857" s="54" customFormat="1" x14ac:dyDescent="0.3"/>
    <row r="1858" s="54" customFormat="1" x14ac:dyDescent="0.3"/>
    <row r="1859" s="54" customFormat="1" x14ac:dyDescent="0.3"/>
    <row r="1860" s="54" customFormat="1" x14ac:dyDescent="0.3"/>
    <row r="1861" s="54" customFormat="1" x14ac:dyDescent="0.3"/>
    <row r="1862" s="54" customFormat="1" x14ac:dyDescent="0.3"/>
    <row r="1863" s="54" customFormat="1" x14ac:dyDescent="0.3"/>
    <row r="1864" s="54" customFormat="1" x14ac:dyDescent="0.3"/>
    <row r="1865" s="54" customFormat="1" x14ac:dyDescent="0.3"/>
    <row r="1866" s="54" customFormat="1" x14ac:dyDescent="0.3"/>
    <row r="1867" s="54" customFormat="1" x14ac:dyDescent="0.3"/>
    <row r="1868" s="54" customFormat="1" x14ac:dyDescent="0.3"/>
    <row r="1869" s="54" customFormat="1" x14ac:dyDescent="0.3"/>
    <row r="1870" s="54" customFormat="1" x14ac:dyDescent="0.3"/>
    <row r="1871" s="54" customFormat="1" x14ac:dyDescent="0.3"/>
    <row r="1872" s="54" customFormat="1" x14ac:dyDescent="0.3"/>
    <row r="1873" s="54" customFormat="1" x14ac:dyDescent="0.3"/>
    <row r="1874" s="54" customFormat="1" x14ac:dyDescent="0.3"/>
    <row r="1875" s="54" customFormat="1" x14ac:dyDescent="0.3"/>
    <row r="1876" s="54" customFormat="1" x14ac:dyDescent="0.3"/>
    <row r="1877" s="54" customFormat="1" x14ac:dyDescent="0.3"/>
    <row r="1878" s="54" customFormat="1" x14ac:dyDescent="0.3"/>
    <row r="1879" s="54" customFormat="1" x14ac:dyDescent="0.3"/>
    <row r="1880" s="54" customFormat="1" x14ac:dyDescent="0.3"/>
    <row r="1881" s="54" customFormat="1" x14ac:dyDescent="0.3"/>
    <row r="1882" s="54" customFormat="1" x14ac:dyDescent="0.3"/>
    <row r="1883" s="54" customFormat="1" x14ac:dyDescent="0.3"/>
    <row r="1884" s="54" customFormat="1" x14ac:dyDescent="0.3"/>
    <row r="1885" s="54" customFormat="1" x14ac:dyDescent="0.3"/>
    <row r="1886" s="54" customFormat="1" x14ac:dyDescent="0.3"/>
    <row r="1887" s="54" customFormat="1" x14ac:dyDescent="0.3"/>
    <row r="1888" s="54" customFormat="1" x14ac:dyDescent="0.3"/>
    <row r="1889" s="54" customFormat="1" x14ac:dyDescent="0.3"/>
    <row r="1890" s="54" customFormat="1" x14ac:dyDescent="0.3"/>
    <row r="1891" s="54" customFormat="1" x14ac:dyDescent="0.3"/>
    <row r="1892" s="54" customFormat="1" x14ac:dyDescent="0.3"/>
    <row r="1893" s="54" customFormat="1" x14ac:dyDescent="0.3"/>
    <row r="1894" s="54" customFormat="1" x14ac:dyDescent="0.3"/>
    <row r="1895" s="54" customFormat="1" x14ac:dyDescent="0.3"/>
    <row r="1896" s="54" customFormat="1" x14ac:dyDescent="0.3"/>
    <row r="1897" s="54" customFormat="1" x14ac:dyDescent="0.3"/>
    <row r="1898" s="54" customFormat="1" x14ac:dyDescent="0.3"/>
    <row r="1899" s="54" customFormat="1" x14ac:dyDescent="0.3"/>
    <row r="1900" s="54" customFormat="1" x14ac:dyDescent="0.3"/>
    <row r="1901" s="54" customFormat="1" x14ac:dyDescent="0.3"/>
    <row r="1902" s="54" customFormat="1" x14ac:dyDescent="0.3"/>
    <row r="1903" s="54" customFormat="1" x14ac:dyDescent="0.3"/>
    <row r="1904" s="54" customFormat="1" x14ac:dyDescent="0.3"/>
    <row r="1905" s="54" customFormat="1" x14ac:dyDescent="0.3"/>
    <row r="1906" s="54" customFormat="1" x14ac:dyDescent="0.3"/>
    <row r="1907" s="54" customFormat="1" x14ac:dyDescent="0.3"/>
    <row r="1908" s="54" customFormat="1" x14ac:dyDescent="0.3"/>
    <row r="1909" s="54" customFormat="1" x14ac:dyDescent="0.3"/>
    <row r="1910" s="54" customFormat="1" x14ac:dyDescent="0.3"/>
    <row r="1911" s="54" customFormat="1" x14ac:dyDescent="0.3"/>
    <row r="1912" s="54" customFormat="1" x14ac:dyDescent="0.3"/>
    <row r="1913" s="54" customFormat="1" x14ac:dyDescent="0.3"/>
    <row r="1914" s="54" customFormat="1" x14ac:dyDescent="0.3"/>
    <row r="1915" s="54" customFormat="1" x14ac:dyDescent="0.3"/>
    <row r="1916" s="54" customFormat="1" x14ac:dyDescent="0.3"/>
    <row r="1917" s="54" customFormat="1" x14ac:dyDescent="0.3"/>
    <row r="1918" s="54" customFormat="1" x14ac:dyDescent="0.3"/>
    <row r="1919" s="54" customFormat="1" x14ac:dyDescent="0.3"/>
    <row r="1920" s="54" customFormat="1" x14ac:dyDescent="0.3"/>
    <row r="1921" s="54" customFormat="1" x14ac:dyDescent="0.3"/>
    <row r="1922" s="54" customFormat="1" x14ac:dyDescent="0.3"/>
    <row r="1923" s="54" customFormat="1" x14ac:dyDescent="0.3"/>
    <row r="1924" s="54" customFormat="1" x14ac:dyDescent="0.3"/>
    <row r="1925" s="54" customFormat="1" x14ac:dyDescent="0.3"/>
    <row r="1926" s="54" customFormat="1" x14ac:dyDescent="0.3"/>
    <row r="1927" s="54" customFormat="1" x14ac:dyDescent="0.3"/>
    <row r="1928" s="54" customFormat="1" x14ac:dyDescent="0.3"/>
    <row r="1929" s="54" customFormat="1" x14ac:dyDescent="0.3"/>
    <row r="1930" s="54" customFormat="1" x14ac:dyDescent="0.3"/>
    <row r="1931" s="54" customFormat="1" x14ac:dyDescent="0.3"/>
    <row r="1932" s="54" customFormat="1" x14ac:dyDescent="0.3"/>
    <row r="1933" s="54" customFormat="1" x14ac:dyDescent="0.3"/>
    <row r="1934" s="54" customFormat="1" x14ac:dyDescent="0.3"/>
    <row r="1935" s="54" customFormat="1" x14ac:dyDescent="0.3"/>
    <row r="1936" s="54" customFormat="1" x14ac:dyDescent="0.3"/>
    <row r="1937" s="54" customFormat="1" x14ac:dyDescent="0.3"/>
    <row r="1938" s="54" customFormat="1" x14ac:dyDescent="0.3"/>
    <row r="1939" s="54" customFormat="1" x14ac:dyDescent="0.3"/>
    <row r="1940" s="54" customFormat="1" x14ac:dyDescent="0.3"/>
    <row r="1941" s="54" customFormat="1" x14ac:dyDescent="0.3"/>
    <row r="1942" s="54" customFormat="1" x14ac:dyDescent="0.3"/>
    <row r="1943" s="54" customFormat="1" x14ac:dyDescent="0.3"/>
    <row r="1944" s="54" customFormat="1" x14ac:dyDescent="0.3"/>
    <row r="1945" s="54" customFormat="1" x14ac:dyDescent="0.3"/>
    <row r="1946" s="54" customFormat="1" x14ac:dyDescent="0.3"/>
    <row r="1947" s="54" customFormat="1" x14ac:dyDescent="0.3"/>
    <row r="1948" s="54" customFormat="1" x14ac:dyDescent="0.3"/>
    <row r="1949" s="54" customFormat="1" x14ac:dyDescent="0.3"/>
    <row r="1950" s="54" customFormat="1" x14ac:dyDescent="0.3"/>
    <row r="1951" s="54" customFormat="1" x14ac:dyDescent="0.3"/>
    <row r="1952" s="54" customFormat="1" x14ac:dyDescent="0.3"/>
    <row r="1953" s="54" customFormat="1" x14ac:dyDescent="0.3"/>
    <row r="1954" s="54" customFormat="1" x14ac:dyDescent="0.3"/>
    <row r="1955" s="54" customFormat="1" x14ac:dyDescent="0.3"/>
    <row r="1956" s="54" customFormat="1" x14ac:dyDescent="0.3"/>
    <row r="1957" s="54" customFormat="1" x14ac:dyDescent="0.3"/>
    <row r="1958" s="54" customFormat="1" x14ac:dyDescent="0.3"/>
    <row r="1959" s="54" customFormat="1" x14ac:dyDescent="0.3"/>
    <row r="1960" s="54" customFormat="1" x14ac:dyDescent="0.3"/>
    <row r="1961" s="54" customFormat="1" x14ac:dyDescent="0.3"/>
    <row r="1962" s="54" customFormat="1" x14ac:dyDescent="0.3"/>
    <row r="1963" s="54" customFormat="1" x14ac:dyDescent="0.3"/>
    <row r="1964" s="54" customFormat="1" x14ac:dyDescent="0.3"/>
    <row r="1965" s="54" customFormat="1" x14ac:dyDescent="0.3"/>
    <row r="1966" s="54" customFormat="1" x14ac:dyDescent="0.3"/>
    <row r="1967" s="54" customFormat="1" x14ac:dyDescent="0.3"/>
    <row r="1968" s="54" customFormat="1" x14ac:dyDescent="0.3"/>
    <row r="1969" s="54" customFormat="1" x14ac:dyDescent="0.3"/>
    <row r="1970" s="54" customFormat="1" x14ac:dyDescent="0.3"/>
    <row r="1971" s="54" customFormat="1" x14ac:dyDescent="0.3"/>
    <row r="1972" s="54" customFormat="1" x14ac:dyDescent="0.3"/>
    <row r="1973" s="54" customFormat="1" x14ac:dyDescent="0.3"/>
    <row r="1974" s="54" customFormat="1" x14ac:dyDescent="0.3"/>
    <row r="1975" s="54" customFormat="1" x14ac:dyDescent="0.3"/>
    <row r="1976" s="54" customFormat="1" x14ac:dyDescent="0.3"/>
    <row r="1977" s="54" customFormat="1" x14ac:dyDescent="0.3"/>
    <row r="1978" s="54" customFormat="1" x14ac:dyDescent="0.3"/>
    <row r="1979" s="54" customFormat="1" x14ac:dyDescent="0.3"/>
    <row r="1980" s="54" customFormat="1" x14ac:dyDescent="0.3"/>
    <row r="1981" s="54" customFormat="1" x14ac:dyDescent="0.3"/>
    <row r="1982" s="54" customFormat="1" x14ac:dyDescent="0.3"/>
    <row r="1983" s="54" customFormat="1" x14ac:dyDescent="0.3"/>
    <row r="1984" s="54" customFormat="1" x14ac:dyDescent="0.3"/>
    <row r="1985" s="54" customFormat="1" x14ac:dyDescent="0.3"/>
    <row r="1986" s="54" customFormat="1" x14ac:dyDescent="0.3"/>
    <row r="1987" s="54" customFormat="1" x14ac:dyDescent="0.3"/>
    <row r="1988" s="54" customFormat="1" x14ac:dyDescent="0.3"/>
    <row r="1989" s="54" customFormat="1" x14ac:dyDescent="0.3"/>
    <row r="1990" s="54" customFormat="1" x14ac:dyDescent="0.3"/>
    <row r="1991" s="54" customFormat="1" x14ac:dyDescent="0.3"/>
    <row r="1992" s="54" customFormat="1" x14ac:dyDescent="0.3"/>
    <row r="1993" s="54" customFormat="1" x14ac:dyDescent="0.3"/>
    <row r="1994" s="54" customFormat="1" x14ac:dyDescent="0.3"/>
    <row r="1995" s="54" customFormat="1" x14ac:dyDescent="0.3"/>
    <row r="1996" s="54" customFormat="1" x14ac:dyDescent="0.3"/>
    <row r="1997" s="54" customFormat="1" x14ac:dyDescent="0.3"/>
    <row r="1998" s="54" customFormat="1" x14ac:dyDescent="0.3"/>
    <row r="1999" s="54" customFormat="1" x14ac:dyDescent="0.3"/>
    <row r="2000" s="54" customFormat="1" x14ac:dyDescent="0.3"/>
    <row r="2001" s="54" customFormat="1" x14ac:dyDescent="0.3"/>
    <row r="2002" s="54" customFormat="1" x14ac:dyDescent="0.3"/>
    <row r="2003" s="54" customFormat="1" x14ac:dyDescent="0.3"/>
    <row r="2004" s="54" customFormat="1" x14ac:dyDescent="0.3"/>
    <row r="2005" s="54" customFormat="1" x14ac:dyDescent="0.3"/>
    <row r="2006" s="54" customFormat="1" x14ac:dyDescent="0.3"/>
    <row r="2007" s="54" customFormat="1" x14ac:dyDescent="0.3"/>
    <row r="2008" s="54" customFormat="1" x14ac:dyDescent="0.3"/>
    <row r="2009" s="54" customFormat="1" x14ac:dyDescent="0.3"/>
    <row r="2010" s="54" customFormat="1" x14ac:dyDescent="0.3"/>
    <row r="2011" s="54" customFormat="1" x14ac:dyDescent="0.3"/>
    <row r="2012" s="54" customFormat="1" x14ac:dyDescent="0.3"/>
    <row r="2013" s="54" customFormat="1" x14ac:dyDescent="0.3"/>
    <row r="2014" s="54" customFormat="1" x14ac:dyDescent="0.3"/>
    <row r="2015" s="54" customFormat="1" x14ac:dyDescent="0.3"/>
    <row r="2016" s="54" customFormat="1" x14ac:dyDescent="0.3"/>
    <row r="2017" s="54" customFormat="1" x14ac:dyDescent="0.3"/>
    <row r="2018" s="54" customFormat="1" x14ac:dyDescent="0.3"/>
    <row r="2019" s="54" customFormat="1" x14ac:dyDescent="0.3"/>
    <row r="2020" s="54" customFormat="1" x14ac:dyDescent="0.3"/>
    <row r="2021" s="54" customFormat="1" x14ac:dyDescent="0.3"/>
    <row r="2022" s="54" customFormat="1" x14ac:dyDescent="0.3"/>
    <row r="2023" s="54" customFormat="1" x14ac:dyDescent="0.3"/>
    <row r="2024" s="54" customFormat="1" x14ac:dyDescent="0.3"/>
    <row r="2025" s="54" customFormat="1" x14ac:dyDescent="0.3"/>
    <row r="2026" s="54" customFormat="1" x14ac:dyDescent="0.3"/>
    <row r="2027" s="54" customFormat="1" x14ac:dyDescent="0.3"/>
    <row r="2028" s="54" customFormat="1" x14ac:dyDescent="0.3"/>
    <row r="2029" s="54" customFormat="1" x14ac:dyDescent="0.3"/>
    <row r="2030" s="54" customFormat="1" x14ac:dyDescent="0.3"/>
    <row r="2031" s="54" customFormat="1" x14ac:dyDescent="0.3"/>
    <row r="2032" s="54" customFormat="1" x14ac:dyDescent="0.3"/>
    <row r="2033" s="54" customFormat="1" x14ac:dyDescent="0.3"/>
    <row r="2034" s="54" customFormat="1" x14ac:dyDescent="0.3"/>
    <row r="2035" s="54" customFormat="1" x14ac:dyDescent="0.3"/>
    <row r="2036" s="54" customFormat="1" x14ac:dyDescent="0.3"/>
    <row r="2037" s="54" customFormat="1" x14ac:dyDescent="0.3"/>
    <row r="2038" s="54" customFormat="1" x14ac:dyDescent="0.3"/>
    <row r="2039" s="54" customFormat="1" x14ac:dyDescent="0.3"/>
    <row r="2040" s="54" customFormat="1" x14ac:dyDescent="0.3"/>
    <row r="2041" s="54" customFormat="1" x14ac:dyDescent="0.3"/>
    <row r="2042" s="54" customFormat="1" x14ac:dyDescent="0.3"/>
    <row r="2043" s="54" customFormat="1" x14ac:dyDescent="0.3"/>
    <row r="2044" s="54" customFormat="1" x14ac:dyDescent="0.3"/>
    <row r="2045" s="54" customFormat="1" x14ac:dyDescent="0.3"/>
    <row r="2046" s="54" customFormat="1" x14ac:dyDescent="0.3"/>
    <row r="2047" s="54" customFormat="1" x14ac:dyDescent="0.3"/>
    <row r="2048" s="54" customFormat="1" x14ac:dyDescent="0.3"/>
    <row r="2049" s="54" customFormat="1" x14ac:dyDescent="0.3"/>
    <row r="2050" s="54" customFormat="1" x14ac:dyDescent="0.3"/>
    <row r="2051" s="54" customFormat="1" x14ac:dyDescent="0.3"/>
    <row r="2052" s="54" customFormat="1" x14ac:dyDescent="0.3"/>
    <row r="2053" s="54" customFormat="1" x14ac:dyDescent="0.3"/>
    <row r="2054" s="54" customFormat="1" x14ac:dyDescent="0.3"/>
    <row r="2055" s="54" customFormat="1" x14ac:dyDescent="0.3"/>
    <row r="2056" s="54" customFormat="1" x14ac:dyDescent="0.3"/>
    <row r="2057" s="54" customFormat="1" x14ac:dyDescent="0.3"/>
    <row r="2058" s="54" customFormat="1" x14ac:dyDescent="0.3"/>
    <row r="2059" s="54" customFormat="1" x14ac:dyDescent="0.3"/>
    <row r="2060" s="54" customFormat="1" x14ac:dyDescent="0.3"/>
    <row r="2061" s="54" customFormat="1" x14ac:dyDescent="0.3"/>
    <row r="2062" s="54" customFormat="1" x14ac:dyDescent="0.3"/>
    <row r="2063" s="54" customFormat="1" x14ac:dyDescent="0.3"/>
    <row r="2064" s="54" customFormat="1" x14ac:dyDescent="0.3"/>
    <row r="2065" s="54" customFormat="1" x14ac:dyDescent="0.3"/>
    <row r="2066" s="54" customFormat="1" x14ac:dyDescent="0.3"/>
    <row r="2067" s="54" customFormat="1" x14ac:dyDescent="0.3"/>
    <row r="2068" s="54" customFormat="1" x14ac:dyDescent="0.3"/>
    <row r="2069" s="54" customFormat="1" x14ac:dyDescent="0.3"/>
    <row r="2070" s="54" customFormat="1" x14ac:dyDescent="0.3"/>
    <row r="2071" s="54" customFormat="1" x14ac:dyDescent="0.3"/>
    <row r="2072" s="54" customFormat="1" x14ac:dyDescent="0.3"/>
    <row r="2073" s="54" customFormat="1" x14ac:dyDescent="0.3"/>
    <row r="2074" s="54" customFormat="1" x14ac:dyDescent="0.3"/>
    <row r="2075" s="54" customFormat="1" x14ac:dyDescent="0.3"/>
    <row r="2076" s="54" customFormat="1" x14ac:dyDescent="0.3"/>
    <row r="2077" s="54" customFormat="1" x14ac:dyDescent="0.3"/>
    <row r="2078" s="54" customFormat="1" x14ac:dyDescent="0.3"/>
    <row r="2079" s="54" customFormat="1" x14ac:dyDescent="0.3"/>
    <row r="2080" s="54" customFormat="1" x14ac:dyDescent="0.3"/>
    <row r="2081" s="54" customFormat="1" x14ac:dyDescent="0.3"/>
    <row r="2082" s="54" customFormat="1" x14ac:dyDescent="0.3"/>
    <row r="2083" s="54" customFormat="1" x14ac:dyDescent="0.3"/>
    <row r="2084" s="54" customFormat="1" x14ac:dyDescent="0.3"/>
    <row r="2085" s="54" customFormat="1" x14ac:dyDescent="0.3"/>
    <row r="2086" s="54" customFormat="1" x14ac:dyDescent="0.3"/>
    <row r="2087" s="54" customFormat="1" x14ac:dyDescent="0.3"/>
    <row r="2088" s="54" customFormat="1" x14ac:dyDescent="0.3"/>
    <row r="2089" s="54" customFormat="1" x14ac:dyDescent="0.3"/>
    <row r="2090" s="54" customFormat="1" x14ac:dyDescent="0.3"/>
    <row r="2091" s="54" customFormat="1" x14ac:dyDescent="0.3"/>
    <row r="2092" s="54" customFormat="1" x14ac:dyDescent="0.3"/>
    <row r="2093" s="54" customFormat="1" x14ac:dyDescent="0.3"/>
    <row r="2094" s="54" customFormat="1" x14ac:dyDescent="0.3"/>
    <row r="2095" s="54" customFormat="1" x14ac:dyDescent="0.3"/>
    <row r="2096" s="54" customFormat="1" x14ac:dyDescent="0.3"/>
    <row r="2097" s="54" customFormat="1" x14ac:dyDescent="0.3"/>
    <row r="2098" s="54" customFormat="1" x14ac:dyDescent="0.3"/>
    <row r="2099" s="54" customFormat="1" x14ac:dyDescent="0.3"/>
    <row r="2100" s="54" customFormat="1" x14ac:dyDescent="0.3"/>
    <row r="2101" s="54" customFormat="1" x14ac:dyDescent="0.3"/>
    <row r="2102" s="54" customFormat="1" x14ac:dyDescent="0.3"/>
    <row r="2103" s="54" customFormat="1" x14ac:dyDescent="0.3"/>
    <row r="2104" s="54" customFormat="1" x14ac:dyDescent="0.3"/>
    <row r="2105" s="54" customFormat="1" x14ac:dyDescent="0.3"/>
    <row r="2106" s="54" customFormat="1" x14ac:dyDescent="0.3"/>
    <row r="2107" s="54" customFormat="1" x14ac:dyDescent="0.3"/>
    <row r="2108" s="54" customFormat="1" x14ac:dyDescent="0.3"/>
    <row r="2109" s="54" customFormat="1" x14ac:dyDescent="0.3"/>
    <row r="2110" s="54" customFormat="1" x14ac:dyDescent="0.3"/>
    <row r="2111" s="54" customFormat="1" x14ac:dyDescent="0.3"/>
    <row r="2112" s="54" customFormat="1" x14ac:dyDescent="0.3"/>
    <row r="2113" s="54" customFormat="1" x14ac:dyDescent="0.3"/>
    <row r="2114" s="54" customFormat="1" x14ac:dyDescent="0.3"/>
    <row r="2115" s="54" customFormat="1" x14ac:dyDescent="0.3"/>
    <row r="2116" s="54" customFormat="1" x14ac:dyDescent="0.3"/>
    <row r="2117" s="54" customFormat="1" x14ac:dyDescent="0.3"/>
    <row r="2118" s="54" customFormat="1" x14ac:dyDescent="0.3"/>
    <row r="2119" s="54" customFormat="1" x14ac:dyDescent="0.3"/>
    <row r="2120" s="54" customFormat="1" x14ac:dyDescent="0.3"/>
    <row r="2121" s="54" customFormat="1" x14ac:dyDescent="0.3"/>
    <row r="2122" s="54" customFormat="1" x14ac:dyDescent="0.3"/>
    <row r="2123" s="54" customFormat="1" x14ac:dyDescent="0.3"/>
    <row r="2124" s="54" customFormat="1" x14ac:dyDescent="0.3"/>
    <row r="2125" s="54" customFormat="1" x14ac:dyDescent="0.3"/>
    <row r="2126" s="54" customFormat="1" x14ac:dyDescent="0.3"/>
    <row r="2127" s="54" customFormat="1" x14ac:dyDescent="0.3"/>
    <row r="2128" s="54" customFormat="1" x14ac:dyDescent="0.3"/>
    <row r="2129" s="54" customFormat="1" x14ac:dyDescent="0.3"/>
    <row r="2130" s="54" customFormat="1" x14ac:dyDescent="0.3"/>
    <row r="2131" s="54" customFormat="1" x14ac:dyDescent="0.3"/>
    <row r="2132" s="54" customFormat="1" x14ac:dyDescent="0.3"/>
    <row r="2133" s="54" customFormat="1" x14ac:dyDescent="0.3"/>
    <row r="2134" s="54" customFormat="1" x14ac:dyDescent="0.3"/>
    <row r="2135" s="54" customFormat="1" x14ac:dyDescent="0.3"/>
    <row r="2136" s="54" customFormat="1" x14ac:dyDescent="0.3"/>
    <row r="2137" s="54" customFormat="1" x14ac:dyDescent="0.3"/>
    <row r="2138" s="54" customFormat="1" x14ac:dyDescent="0.3"/>
    <row r="2139" s="54" customFormat="1" x14ac:dyDescent="0.3"/>
    <row r="2140" s="54" customFormat="1" x14ac:dyDescent="0.3"/>
    <row r="2141" s="54" customFormat="1" x14ac:dyDescent="0.3"/>
    <row r="2142" s="54" customFormat="1" x14ac:dyDescent="0.3"/>
    <row r="2143" s="54" customFormat="1" x14ac:dyDescent="0.3"/>
    <row r="2144" s="54" customFormat="1" x14ac:dyDescent="0.3"/>
    <row r="2145" s="54" customFormat="1" x14ac:dyDescent="0.3"/>
    <row r="2146" s="54" customFormat="1" x14ac:dyDescent="0.3"/>
    <row r="2147" s="54" customFormat="1" x14ac:dyDescent="0.3"/>
    <row r="2148" s="54" customFormat="1" x14ac:dyDescent="0.3"/>
    <row r="2149" s="54" customFormat="1" x14ac:dyDescent="0.3"/>
    <row r="2150" s="54" customFormat="1" x14ac:dyDescent="0.3"/>
    <row r="2151" s="54" customFormat="1" x14ac:dyDescent="0.3"/>
    <row r="2152" s="54" customFormat="1" x14ac:dyDescent="0.3"/>
    <row r="2153" s="54" customFormat="1" x14ac:dyDescent="0.3"/>
    <row r="2154" s="54" customFormat="1" x14ac:dyDescent="0.3"/>
    <row r="2155" s="54" customFormat="1" x14ac:dyDescent="0.3"/>
    <row r="2156" s="54" customFormat="1" x14ac:dyDescent="0.3"/>
    <row r="2157" s="54" customFormat="1" x14ac:dyDescent="0.3"/>
    <row r="2158" s="54" customFormat="1" x14ac:dyDescent="0.3"/>
    <row r="2159" s="54" customFormat="1" x14ac:dyDescent="0.3"/>
    <row r="2160" s="54" customFormat="1" x14ac:dyDescent="0.3"/>
    <row r="2161" s="54" customFormat="1" x14ac:dyDescent="0.3"/>
    <row r="2162" s="54" customFormat="1" x14ac:dyDescent="0.3"/>
    <row r="2163" s="54" customFormat="1" x14ac:dyDescent="0.3"/>
    <row r="2164" s="54" customFormat="1" x14ac:dyDescent="0.3"/>
    <row r="2165" s="54" customFormat="1" x14ac:dyDescent="0.3"/>
    <row r="2166" s="54" customFormat="1" x14ac:dyDescent="0.3"/>
    <row r="2167" s="54" customFormat="1" x14ac:dyDescent="0.3"/>
    <row r="2168" s="54" customFormat="1" x14ac:dyDescent="0.3"/>
    <row r="2169" s="54" customFormat="1" x14ac:dyDescent="0.3"/>
    <row r="2170" s="54" customFormat="1" x14ac:dyDescent="0.3"/>
    <row r="2171" s="54" customFormat="1" x14ac:dyDescent="0.3"/>
    <row r="2172" s="54" customFormat="1" x14ac:dyDescent="0.3"/>
    <row r="2173" s="54" customFormat="1" x14ac:dyDescent="0.3"/>
    <row r="2174" s="54" customFormat="1" x14ac:dyDescent="0.3"/>
    <row r="2175" s="54" customFormat="1" x14ac:dyDescent="0.3"/>
    <row r="2176" s="54" customFormat="1" x14ac:dyDescent="0.3"/>
    <row r="2177" s="54" customFormat="1" x14ac:dyDescent="0.3"/>
    <row r="2178" s="54" customFormat="1" x14ac:dyDescent="0.3"/>
    <row r="2179" s="54" customFormat="1" x14ac:dyDescent="0.3"/>
    <row r="2180" s="54" customFormat="1" x14ac:dyDescent="0.3"/>
    <row r="2181" s="54" customFormat="1" x14ac:dyDescent="0.3"/>
    <row r="2182" s="54" customFormat="1" x14ac:dyDescent="0.3"/>
    <row r="2183" s="54" customFormat="1" x14ac:dyDescent="0.3"/>
    <row r="2184" s="54" customFormat="1" x14ac:dyDescent="0.3"/>
    <row r="2185" s="54" customFormat="1" x14ac:dyDescent="0.3"/>
    <row r="2186" s="54" customFormat="1" x14ac:dyDescent="0.3"/>
    <row r="2187" s="54" customFormat="1" x14ac:dyDescent="0.3"/>
    <row r="2188" s="54" customFormat="1" x14ac:dyDescent="0.3"/>
    <row r="2189" s="54" customFormat="1" x14ac:dyDescent="0.3"/>
    <row r="2190" s="54" customFormat="1" x14ac:dyDescent="0.3"/>
    <row r="2191" s="54" customFormat="1" x14ac:dyDescent="0.3"/>
    <row r="2192" s="54" customFormat="1" x14ac:dyDescent="0.3"/>
    <row r="2193" s="54" customFormat="1" x14ac:dyDescent="0.3"/>
    <row r="2194" s="54" customFormat="1" x14ac:dyDescent="0.3"/>
    <row r="2195" s="54" customFormat="1" x14ac:dyDescent="0.3"/>
    <row r="2196" s="54" customFormat="1" x14ac:dyDescent="0.3"/>
    <row r="2197" s="54" customFormat="1" x14ac:dyDescent="0.3"/>
    <row r="2198" s="54" customFormat="1" x14ac:dyDescent="0.3"/>
    <row r="2199" s="54" customFormat="1" x14ac:dyDescent="0.3"/>
    <row r="2200" s="54" customFormat="1" x14ac:dyDescent="0.3"/>
    <row r="2201" s="54" customFormat="1" x14ac:dyDescent="0.3"/>
    <row r="2202" s="54" customFormat="1" x14ac:dyDescent="0.3"/>
    <row r="2203" s="54" customFormat="1" x14ac:dyDescent="0.3"/>
    <row r="2204" s="54" customFormat="1" x14ac:dyDescent="0.3"/>
    <row r="2205" s="54" customFormat="1" x14ac:dyDescent="0.3"/>
    <row r="2206" s="54" customFormat="1" x14ac:dyDescent="0.3"/>
    <row r="2207" s="54" customFormat="1" x14ac:dyDescent="0.3"/>
    <row r="2208" s="54" customFormat="1" x14ac:dyDescent="0.3"/>
    <row r="2209" s="54" customFormat="1" x14ac:dyDescent="0.3"/>
    <row r="2210" s="54" customFormat="1" x14ac:dyDescent="0.3"/>
    <row r="2211" s="54" customFormat="1" x14ac:dyDescent="0.3"/>
    <row r="2212" s="54" customFormat="1" x14ac:dyDescent="0.3"/>
    <row r="2213" s="54" customFormat="1" x14ac:dyDescent="0.3"/>
    <row r="2214" s="54" customFormat="1" x14ac:dyDescent="0.3"/>
    <row r="2215" s="54" customFormat="1" x14ac:dyDescent="0.3"/>
    <row r="2216" s="54" customFormat="1" x14ac:dyDescent="0.3"/>
    <row r="2217" s="54" customFormat="1" x14ac:dyDescent="0.3"/>
    <row r="2218" s="54" customFormat="1" x14ac:dyDescent="0.3"/>
    <row r="2219" s="54" customFormat="1" x14ac:dyDescent="0.3"/>
    <row r="2220" s="54" customFormat="1" x14ac:dyDescent="0.3"/>
    <row r="2221" s="54" customFormat="1" x14ac:dyDescent="0.3"/>
    <row r="2222" s="54" customFormat="1" x14ac:dyDescent="0.3"/>
    <row r="2223" s="54" customFormat="1" x14ac:dyDescent="0.3"/>
    <row r="2224" s="54" customFormat="1" x14ac:dyDescent="0.3"/>
    <row r="2225" s="54" customFormat="1" x14ac:dyDescent="0.3"/>
    <row r="2226" s="54" customFormat="1" x14ac:dyDescent="0.3"/>
    <row r="2227" s="54" customFormat="1" x14ac:dyDescent="0.3"/>
    <row r="2228" s="54" customFormat="1" x14ac:dyDescent="0.3"/>
    <row r="2229" s="54" customFormat="1" x14ac:dyDescent="0.3"/>
    <row r="2230" s="54" customFormat="1" x14ac:dyDescent="0.3"/>
    <row r="2231" s="54" customFormat="1" x14ac:dyDescent="0.3"/>
    <row r="2232" s="54" customFormat="1" x14ac:dyDescent="0.3"/>
    <row r="2233" s="54" customFormat="1" x14ac:dyDescent="0.3"/>
    <row r="2234" s="54" customFormat="1" x14ac:dyDescent="0.3"/>
    <row r="2235" s="54" customFormat="1" x14ac:dyDescent="0.3"/>
    <row r="2236" s="54" customFormat="1" x14ac:dyDescent="0.3"/>
    <row r="2237" s="54" customFormat="1" x14ac:dyDescent="0.3"/>
    <row r="2238" s="54" customFormat="1" x14ac:dyDescent="0.3"/>
    <row r="2239" s="54" customFormat="1" x14ac:dyDescent="0.3"/>
    <row r="2240" s="54" customFormat="1" x14ac:dyDescent="0.3"/>
    <row r="2241" s="54" customFormat="1" x14ac:dyDescent="0.3"/>
    <row r="2242" s="54" customFormat="1" x14ac:dyDescent="0.3"/>
    <row r="2243" s="54" customFormat="1" x14ac:dyDescent="0.3"/>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M18"/>
  <sheetViews>
    <sheetView zoomScaleNormal="100" workbookViewId="0">
      <selection activeCell="D10" sqref="D10"/>
    </sheetView>
  </sheetViews>
  <sheetFormatPr defaultRowHeight="14.4" x14ac:dyDescent="0.3"/>
  <cols>
    <col min="1" max="1" width="52.44140625" style="98" customWidth="1"/>
    <col min="2" max="2" width="12" style="98" customWidth="1"/>
    <col min="3" max="3" width="11" style="98" customWidth="1"/>
    <col min="4" max="4" width="11" customWidth="1"/>
    <col min="5" max="5" width="11.5546875" style="98" customWidth="1"/>
    <col min="6" max="6" width="15.6640625" customWidth="1"/>
    <col min="7" max="7" width="12.33203125" style="98" customWidth="1"/>
    <col min="8" max="8" width="14.109375" style="98" customWidth="1"/>
    <col min="9" max="9" width="11.33203125" customWidth="1"/>
    <col min="12" max="12" width="37.44140625" customWidth="1"/>
    <col min="13" max="13" width="23.6640625" style="98" customWidth="1"/>
  </cols>
  <sheetData>
    <row r="1" spans="1:13" s="98" customFormat="1" x14ac:dyDescent="0.3">
      <c r="A1" s="100"/>
      <c r="B1" s="284" t="s">
        <v>30</v>
      </c>
      <c r="C1" s="285"/>
      <c r="D1" s="285"/>
      <c r="E1" s="286"/>
      <c r="F1" s="281" t="s">
        <v>33</v>
      </c>
      <c r="G1" s="282"/>
      <c r="H1" s="282"/>
      <c r="I1" s="283"/>
      <c r="M1" s="149"/>
    </row>
    <row r="2" spans="1:13" ht="57.6" x14ac:dyDescent="0.3">
      <c r="A2" s="67" t="s">
        <v>222</v>
      </c>
      <c r="B2" s="158" t="s">
        <v>718</v>
      </c>
      <c r="C2" s="159" t="s">
        <v>719</v>
      </c>
      <c r="D2" s="159" t="s">
        <v>722</v>
      </c>
      <c r="E2" s="160" t="s">
        <v>716</v>
      </c>
      <c r="F2" s="158" t="s">
        <v>715</v>
      </c>
      <c r="G2" s="159" t="s">
        <v>717</v>
      </c>
      <c r="H2" s="159" t="s">
        <v>722</v>
      </c>
      <c r="I2" s="160" t="s">
        <v>716</v>
      </c>
      <c r="L2" s="67" t="s">
        <v>713</v>
      </c>
      <c r="M2" s="98" t="s">
        <v>714</v>
      </c>
    </row>
    <row r="3" spans="1:13" x14ac:dyDescent="0.3">
      <c r="A3" s="98" t="s">
        <v>704</v>
      </c>
      <c r="B3" s="142">
        <f>FERTILIZER!D12</f>
        <v>5000</v>
      </c>
      <c r="C3" s="57">
        <f>FERTILIZER!B12</f>
        <v>15000</v>
      </c>
      <c r="D3" s="57">
        <f>C3*(FERTILIZER!C12/100)</f>
        <v>12300</v>
      </c>
      <c r="E3" s="143">
        <f t="shared" ref="E3:E9" si="0">(C3/1000)/B3</f>
        <v>3.0000000000000001E-3</v>
      </c>
      <c r="F3" s="142">
        <f>FERTILIZER!G12</f>
        <v>5000</v>
      </c>
      <c r="G3" s="57">
        <f>FERTILIZER!E12</f>
        <v>15000</v>
      </c>
      <c r="H3" s="57">
        <f>G3*(FERTILIZER!F12/100)</f>
        <v>12300</v>
      </c>
      <c r="I3" s="143">
        <f>(G3/1000)/F3</f>
        <v>3.0000000000000001E-3</v>
      </c>
      <c r="L3" t="s">
        <v>183</v>
      </c>
      <c r="M3" s="98">
        <v>1.54</v>
      </c>
    </row>
    <row r="4" spans="1:13" x14ac:dyDescent="0.3">
      <c r="A4" s="98" t="s">
        <v>705</v>
      </c>
      <c r="B4" s="142">
        <f>FERTILIZER!D13</f>
        <v>5000</v>
      </c>
      <c r="C4" s="57">
        <f>FERTILIZER!B13</f>
        <v>0</v>
      </c>
      <c r="D4" s="57">
        <f>C4*(FERTILIZER!C13/100)</f>
        <v>0</v>
      </c>
      <c r="E4" s="143">
        <f t="shared" si="0"/>
        <v>0</v>
      </c>
      <c r="F4" s="142">
        <f>FERTILIZER!G13</f>
        <v>5000</v>
      </c>
      <c r="G4" s="57">
        <f>FERTILIZER!E13</f>
        <v>0</v>
      </c>
      <c r="H4" s="57">
        <f>G4*(FERTILIZER!F13/100)</f>
        <v>0</v>
      </c>
      <c r="I4" s="143">
        <f t="shared" ref="I4:I8" si="1">(G4/1000)/F4</f>
        <v>0</v>
      </c>
      <c r="K4" s="98"/>
      <c r="L4" s="98" t="s">
        <v>704</v>
      </c>
      <c r="M4" s="116">
        <f>(FERTILIZER!C12/100)*0.82*2.013</f>
        <v>1.3535411999999998</v>
      </c>
    </row>
    <row r="5" spans="1:13" x14ac:dyDescent="0.3">
      <c r="A5" s="98" t="s">
        <v>179</v>
      </c>
      <c r="B5" s="142">
        <f>FERTILIZER!D14</f>
        <v>5000</v>
      </c>
      <c r="C5" s="57">
        <f>FERTILIZER!B14</f>
        <v>0</v>
      </c>
      <c r="D5" s="57">
        <f>C5*(FERTILIZER!C14/100)</f>
        <v>0</v>
      </c>
      <c r="E5" s="143">
        <f t="shared" si="0"/>
        <v>0</v>
      </c>
      <c r="F5" s="142">
        <f>FERTILIZER!G14</f>
        <v>5000</v>
      </c>
      <c r="G5" s="57">
        <f>FERTILIZER!E14</f>
        <v>0</v>
      </c>
      <c r="H5" s="57">
        <f>G5*(FERTILIZER!F14/100)</f>
        <v>0</v>
      </c>
      <c r="I5" s="143">
        <f t="shared" si="1"/>
        <v>0</v>
      </c>
      <c r="K5" s="98"/>
      <c r="L5" s="98" t="s">
        <v>705</v>
      </c>
      <c r="M5" s="116">
        <f>(FERTILIZER!C13/100)*0.82*2.013</f>
        <v>0.34663859999999996</v>
      </c>
    </row>
    <row r="6" spans="1:13" x14ac:dyDescent="0.3">
      <c r="A6" s="98" t="s">
        <v>180</v>
      </c>
      <c r="B6" s="142">
        <f>FERTILIZER!D15</f>
        <v>5000</v>
      </c>
      <c r="C6" s="57">
        <f>FERTILIZER!B15</f>
        <v>0</v>
      </c>
      <c r="D6" s="57">
        <f>C6*(FERTILIZER!C15/100)</f>
        <v>0</v>
      </c>
      <c r="E6" s="143">
        <f t="shared" si="0"/>
        <v>0</v>
      </c>
      <c r="F6" s="142">
        <f>FERTILIZER!G15</f>
        <v>5000</v>
      </c>
      <c r="G6" s="57">
        <f>FERTILIZER!E15</f>
        <v>0</v>
      </c>
      <c r="H6" s="57">
        <f>G6*(FERTILIZER!F15/100)</f>
        <v>0</v>
      </c>
      <c r="I6" s="143">
        <f t="shared" si="1"/>
        <v>0</v>
      </c>
      <c r="K6" s="98"/>
      <c r="L6" s="98" t="s">
        <v>179</v>
      </c>
      <c r="M6" s="116">
        <f>(FERTILIZER!C14/100)*0.82*2.013</f>
        <v>0.18157259999999997</v>
      </c>
    </row>
    <row r="7" spans="1:13" x14ac:dyDescent="0.3">
      <c r="A7" s="98" t="s">
        <v>706</v>
      </c>
      <c r="B7" s="142">
        <f>FERTILIZER!D16</f>
        <v>5000</v>
      </c>
      <c r="C7" s="57">
        <f>FERTILIZER!B16</f>
        <v>0</v>
      </c>
      <c r="D7" s="57">
        <f>C7*(FERTILIZER!C16/100)</f>
        <v>0</v>
      </c>
      <c r="E7" s="143">
        <f t="shared" si="0"/>
        <v>0</v>
      </c>
      <c r="F7" s="142">
        <f>FERTILIZER!G16</f>
        <v>5000</v>
      </c>
      <c r="G7" s="57">
        <f>FERTILIZER!E16</f>
        <v>0</v>
      </c>
      <c r="H7" s="57">
        <f>G7*(FERTILIZER!F16/100)</f>
        <v>0</v>
      </c>
      <c r="I7" s="143">
        <f t="shared" si="1"/>
        <v>0</v>
      </c>
      <c r="K7" s="98"/>
      <c r="L7" s="98" t="s">
        <v>180</v>
      </c>
      <c r="M7" s="116">
        <f>(FERTILIZER!C15/100)*0.82*2.013</f>
        <v>0.29711879999999996</v>
      </c>
    </row>
    <row r="8" spans="1:13" x14ac:dyDescent="0.3">
      <c r="A8" s="98" t="s">
        <v>182</v>
      </c>
      <c r="B8" s="142">
        <f>FERTILIZER!D17</f>
        <v>5000</v>
      </c>
      <c r="C8" s="57">
        <f>FERTILIZER!B17</f>
        <v>0</v>
      </c>
      <c r="D8" s="57">
        <f>C8*(FERTILIZER!C17/100)</f>
        <v>0</v>
      </c>
      <c r="E8" s="143">
        <f t="shared" si="0"/>
        <v>0</v>
      </c>
      <c r="F8" s="142">
        <f>FERTILIZER!G17</f>
        <v>5000</v>
      </c>
      <c r="G8" s="57">
        <f>FERTILIZER!E17</f>
        <v>0</v>
      </c>
      <c r="H8" s="57">
        <f>G8*(FERTILIZER!F17/100)</f>
        <v>0</v>
      </c>
      <c r="I8" s="143">
        <f t="shared" si="1"/>
        <v>0</v>
      </c>
      <c r="K8" s="98"/>
      <c r="L8" s="98" t="s">
        <v>706</v>
      </c>
      <c r="M8" s="116">
        <f>(FERTILIZER!C16/100)*0.82*2.013</f>
        <v>0.55297109999999994</v>
      </c>
    </row>
    <row r="9" spans="1:13" s="98" customFormat="1" x14ac:dyDescent="0.3">
      <c r="A9" s="67" t="s">
        <v>703</v>
      </c>
      <c r="B9" s="142">
        <f>FERTILIZER!D19</f>
        <v>5000</v>
      </c>
      <c r="C9" s="57">
        <f>FERTILIZER!B19</f>
        <v>0</v>
      </c>
      <c r="D9" s="57"/>
      <c r="E9" s="143">
        <f t="shared" si="0"/>
        <v>0</v>
      </c>
      <c r="F9" s="142">
        <f>FERTILIZER!G19</f>
        <v>5000</v>
      </c>
      <c r="G9" s="57">
        <f>FERTILIZER!E19</f>
        <v>0</v>
      </c>
      <c r="H9" s="57"/>
      <c r="I9" s="143">
        <f>(G9/1000)/F9</f>
        <v>0</v>
      </c>
      <c r="L9" s="98" t="s">
        <v>182</v>
      </c>
      <c r="M9" s="116">
        <f>(FERTILIZER!C17/100)*0.82*2.013</f>
        <v>0.42917159999999999</v>
      </c>
    </row>
    <row r="10" spans="1:13" ht="15" thickBot="1" x14ac:dyDescent="0.35">
      <c r="A10" s="67" t="s">
        <v>696</v>
      </c>
      <c r="B10" s="152"/>
      <c r="C10" s="153"/>
      <c r="D10" s="154">
        <f>'Manure Data'!C28*(FERTILIZER!B21/100)</f>
        <v>132557.02187499998</v>
      </c>
      <c r="E10" s="155"/>
      <c r="F10" s="156"/>
      <c r="G10" s="154"/>
      <c r="H10" s="154">
        <f>'Manure Data'!M28*(FERTILIZER!E21/100)</f>
        <v>160412.99150000003</v>
      </c>
      <c r="I10" s="157"/>
    </row>
    <row r="11" spans="1:13" s="98" customFormat="1" x14ac:dyDescent="0.3">
      <c r="A11" s="67"/>
      <c r="B11" s="67"/>
      <c r="C11" s="67"/>
      <c r="D11" s="90"/>
      <c r="E11" s="90"/>
      <c r="F11" s="90"/>
      <c r="G11" s="90"/>
      <c r="H11" s="90"/>
    </row>
    <row r="12" spans="1:13" s="98" customFormat="1" x14ac:dyDescent="0.3">
      <c r="A12" s="144" t="s">
        <v>707</v>
      </c>
      <c r="B12" s="144"/>
      <c r="C12" s="144"/>
      <c r="D12" s="90"/>
      <c r="E12" s="90"/>
      <c r="F12" s="90"/>
      <c r="G12" s="90"/>
      <c r="H12" s="90"/>
    </row>
    <row r="13" spans="1:13" x14ac:dyDescent="0.3">
      <c r="A13" s="98" t="s">
        <v>708</v>
      </c>
      <c r="B13" s="90">
        <f>(SUM(D3:D10)*0.01*(44/28)*310)/1000</f>
        <v>705.66063513392851</v>
      </c>
      <c r="E13" s="90"/>
      <c r="F13" s="90">
        <f>(SUM(H3:H10)*0.01*(44/28)*310)/1000</f>
        <v>841.35900145000005</v>
      </c>
      <c r="G13" s="90"/>
      <c r="H13" s="90"/>
    </row>
    <row r="14" spans="1:13" x14ac:dyDescent="0.3">
      <c r="A14" s="98" t="s">
        <v>709</v>
      </c>
      <c r="B14" s="90">
        <f>(((SUM(D3:D8)*0.1)+(D10*0.2))*0.01*(44/28)*310)/1000</f>
        <v>135.14026988392857</v>
      </c>
      <c r="E14" s="90"/>
      <c r="F14" s="90">
        <f>(((SUM(H3:H8)*0.1)+(H10*0.2))*0.01*(44/28)*310)/1000</f>
        <v>162.27994314714292</v>
      </c>
      <c r="G14" s="90"/>
      <c r="H14" s="90"/>
    </row>
    <row r="15" spans="1:13" s="98" customFormat="1" x14ac:dyDescent="0.3">
      <c r="A15" s="98" t="s">
        <v>710</v>
      </c>
      <c r="B15" s="90">
        <f>(SUM(D3:D10)*0.3*0.0075*(44/28)*310)/1000</f>
        <v>158.7736429051339</v>
      </c>
      <c r="E15" s="90"/>
      <c r="F15" s="90">
        <f>(SUM(H3:H10)*0.3*0.0075*(44/28)*310)/1000</f>
        <v>189.30577532625006</v>
      </c>
      <c r="G15" s="90"/>
      <c r="H15" s="90"/>
    </row>
    <row r="16" spans="1:13" x14ac:dyDescent="0.3">
      <c r="A16" s="98" t="s">
        <v>711</v>
      </c>
      <c r="B16" s="150">
        <f>(FERTILIZER!B19/1000)*0.2*(44/12)</f>
        <v>0</v>
      </c>
      <c r="F16" s="151">
        <f>(FERTILIZER!E19/1000)*0.2*(44/12)</f>
        <v>0</v>
      </c>
    </row>
    <row r="17" spans="1:8" x14ac:dyDescent="0.3">
      <c r="A17" s="98" t="s">
        <v>720</v>
      </c>
      <c r="B17" s="91">
        <f>(B3*E3*M4)+(B4*E4*M5)+(B5*E5*M6)+(B6*E6*M7)+(B7*E7*M8)+(B8*E8*M9)+(B9*E9*M3)</f>
        <v>20.303117999999998</v>
      </c>
      <c r="D17" s="103"/>
      <c r="E17" s="103"/>
      <c r="F17" s="131">
        <f>(F3*I3*M4)+(F4*I4*M5)+(F5*I5*M6)+(F6*I6*M7)+(F7*I7*M8)+(F8*I8*M9)+(F9*I9*M3)</f>
        <v>20.303117999999998</v>
      </c>
      <c r="G17" s="103"/>
      <c r="H17" s="103"/>
    </row>
    <row r="18" spans="1:8" x14ac:dyDescent="0.3">
      <c r="A18" s="98" t="s">
        <v>721</v>
      </c>
      <c r="B18" s="103">
        <f>SUM(B13:B17)</f>
        <v>1019.877665922991</v>
      </c>
      <c r="F18" s="103">
        <f>SUM(F13:F17)</f>
        <v>1213.247837923393</v>
      </c>
    </row>
  </sheetData>
  <mergeCells count="2">
    <mergeCell ref="B1:E1"/>
    <mergeCell ref="F1:I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B195"/>
  <sheetViews>
    <sheetView workbookViewId="0">
      <selection activeCell="J15" sqref="J15"/>
    </sheetView>
  </sheetViews>
  <sheetFormatPr defaultRowHeight="14.4" x14ac:dyDescent="0.3"/>
  <cols>
    <col min="3" max="3" width="37.88671875" customWidth="1"/>
    <col min="4" max="4" width="30.44140625" customWidth="1"/>
    <col min="11" max="11" width="13.88671875" customWidth="1"/>
  </cols>
  <sheetData>
    <row r="1" spans="1:23" x14ac:dyDescent="0.3">
      <c r="A1" s="100" t="s">
        <v>227</v>
      </c>
      <c r="B1" s="98"/>
      <c r="C1" s="98"/>
      <c r="D1" s="98"/>
      <c r="E1" s="298" t="s">
        <v>241</v>
      </c>
      <c r="F1" s="298"/>
      <c r="G1" s="298"/>
      <c r="H1" s="298"/>
      <c r="I1" s="298"/>
      <c r="J1" s="298"/>
      <c r="K1" s="298"/>
      <c r="L1" s="298"/>
      <c r="M1" s="98"/>
      <c r="N1" s="299" t="s">
        <v>276</v>
      </c>
      <c r="O1" s="299"/>
      <c r="P1" s="299"/>
      <c r="Q1" s="299"/>
      <c r="R1" s="299"/>
      <c r="S1" s="299"/>
      <c r="T1" s="299"/>
      <c r="U1" s="299"/>
      <c r="V1" s="299"/>
    </row>
    <row r="2" spans="1:23" ht="15" customHeight="1" x14ac:dyDescent="0.3">
      <c r="A2" s="290" t="s">
        <v>228</v>
      </c>
      <c r="B2" s="291" t="s">
        <v>229</v>
      </c>
      <c r="C2" s="291" t="s">
        <v>230</v>
      </c>
      <c r="D2" s="291" t="s">
        <v>277</v>
      </c>
      <c r="E2" s="293" t="s">
        <v>920</v>
      </c>
      <c r="F2" s="294"/>
      <c r="G2" s="300" t="s">
        <v>921</v>
      </c>
      <c r="H2" s="301"/>
      <c r="I2" s="295" t="s">
        <v>922</v>
      </c>
      <c r="J2" s="295" t="s">
        <v>923</v>
      </c>
      <c r="K2" s="295" t="s">
        <v>257</v>
      </c>
      <c r="L2" s="295" t="s">
        <v>779</v>
      </c>
      <c r="M2" s="295" t="s">
        <v>259</v>
      </c>
      <c r="N2" s="98"/>
      <c r="O2" s="296" t="s">
        <v>223</v>
      </c>
      <c r="P2" s="297"/>
      <c r="Q2" s="304" t="s">
        <v>253</v>
      </c>
      <c r="R2" s="305"/>
      <c r="S2" s="302" t="s">
        <v>254</v>
      </c>
      <c r="T2" s="302" t="s">
        <v>256</v>
      </c>
      <c r="U2" s="302" t="s">
        <v>257</v>
      </c>
      <c r="V2" s="302" t="s">
        <v>258</v>
      </c>
      <c r="W2" s="302" t="s">
        <v>259</v>
      </c>
    </row>
    <row r="3" spans="1:23" x14ac:dyDescent="0.3">
      <c r="A3" s="290"/>
      <c r="B3" s="292"/>
      <c r="C3" s="292"/>
      <c r="D3" s="292"/>
      <c r="E3" s="120" t="s">
        <v>261</v>
      </c>
      <c r="F3" s="120" t="s">
        <v>260</v>
      </c>
      <c r="G3" s="120" t="s">
        <v>261</v>
      </c>
      <c r="H3" s="120" t="s">
        <v>260</v>
      </c>
      <c r="I3" s="295"/>
      <c r="J3" s="295"/>
      <c r="K3" s="295"/>
      <c r="L3" s="295"/>
      <c r="M3" s="295"/>
      <c r="N3" s="98"/>
      <c r="O3" s="122" t="s">
        <v>261</v>
      </c>
      <c r="P3" s="122" t="s">
        <v>260</v>
      </c>
      <c r="Q3" s="122" t="s">
        <v>261</v>
      </c>
      <c r="R3" s="122" t="s">
        <v>260</v>
      </c>
      <c r="S3" s="302"/>
      <c r="T3" s="302"/>
      <c r="U3" s="302"/>
      <c r="V3" s="302"/>
      <c r="W3" s="302"/>
    </row>
    <row r="4" spans="1:23" ht="28.8" x14ac:dyDescent="0.3">
      <c r="A4" s="115" t="s">
        <v>265</v>
      </c>
      <c r="B4" s="114" t="s">
        <v>226</v>
      </c>
      <c r="C4" s="114" t="s">
        <v>266</v>
      </c>
      <c r="E4" s="118">
        <v>0.38600000000000001</v>
      </c>
      <c r="F4" s="118">
        <v>0.38600000000000001</v>
      </c>
      <c r="G4" s="118">
        <v>0.38600000000000001</v>
      </c>
      <c r="H4" s="118">
        <v>0.32200000000000001</v>
      </c>
      <c r="I4" s="121">
        <v>0.37</v>
      </c>
      <c r="J4" s="121">
        <f>AVERAGE(0.322,0.37)</f>
        <v>0.34599999999999997</v>
      </c>
      <c r="K4" s="121">
        <v>0.37</v>
      </c>
      <c r="L4" s="121">
        <v>0.32200000000000001</v>
      </c>
      <c r="M4" s="121">
        <v>0.37</v>
      </c>
      <c r="O4" s="123">
        <f t="shared" ref="O4:V4" si="0">E4</f>
        <v>0.38600000000000001</v>
      </c>
      <c r="P4" s="123">
        <f t="shared" si="0"/>
        <v>0.38600000000000001</v>
      </c>
      <c r="Q4" s="123">
        <f t="shared" si="0"/>
        <v>0.38600000000000001</v>
      </c>
      <c r="R4" s="123">
        <f t="shared" si="0"/>
        <v>0.32200000000000001</v>
      </c>
      <c r="S4" s="123">
        <f t="shared" si="0"/>
        <v>0.37</v>
      </c>
      <c r="T4" s="123">
        <f t="shared" si="0"/>
        <v>0.34599999999999997</v>
      </c>
      <c r="U4" s="123">
        <f t="shared" si="0"/>
        <v>0.37</v>
      </c>
      <c r="V4" s="123">
        <f t="shared" si="0"/>
        <v>0.32200000000000001</v>
      </c>
      <c r="W4" s="123">
        <f t="shared" ref="W4" si="1">M4</f>
        <v>0.37</v>
      </c>
    </row>
    <row r="5" spans="1:23" ht="28.8" x14ac:dyDescent="0.3">
      <c r="A5" s="115"/>
      <c r="B5" s="114" t="s">
        <v>267</v>
      </c>
      <c r="C5" s="114" t="s">
        <v>268</v>
      </c>
      <c r="E5">
        <f>IF(ENTERIC!$C$39&lt;20,'Enteric Data'!E4+(0.0048*(20-ENTERIC!$C$39)),'Enteric Data'!E4)</f>
        <v>0.45800000000000002</v>
      </c>
      <c r="F5" s="98">
        <f>IF(ENTERIC!$C$39&lt;20,'Enteric Data'!F4+(0.0048*(20-ENTERIC!$C$39)),'Enteric Data'!F4)</f>
        <v>0.45800000000000002</v>
      </c>
      <c r="G5" s="98">
        <f>IF(ENTERIC!$C$39&lt;20,'Enteric Data'!G4+(0.0048*(20-ENTERIC!$C$39)),'Enteric Data'!G4)</f>
        <v>0.45800000000000002</v>
      </c>
      <c r="H5" s="98">
        <f>IF(ENTERIC!$C$39&lt;20,'Enteric Data'!H4+(0.0048*(20-ENTERIC!$C$39)),'Enteric Data'!H4)</f>
        <v>0.39400000000000002</v>
      </c>
      <c r="I5" s="98">
        <f>IF(ENTERIC!$C$39&lt;20,'Enteric Data'!I4+(0.0048*(20-ENTERIC!$C$39)),'Enteric Data'!I4)</f>
        <v>0.442</v>
      </c>
      <c r="J5" s="98">
        <f>IF(ENTERIC!$C$39&lt;20,'Enteric Data'!J4+(0.0048*(20-ENTERIC!$C$39)),'Enteric Data'!J4)</f>
        <v>0.41799999999999998</v>
      </c>
      <c r="K5" s="98">
        <f>IF(ENTERIC!$C$39&lt;20,'Enteric Data'!K4+(0.0048*(20-ENTERIC!$C$39)),'Enteric Data'!K4)</f>
        <v>0.442</v>
      </c>
      <c r="L5" s="64">
        <f>IF(ENTERIC!$C$39&lt;20,L4+(0.0048*(20-ENTERIC!$C$39)),#REF!)</f>
        <v>0.39400000000000002</v>
      </c>
      <c r="M5" s="98">
        <f>IF(ENTERIC!$C$39&lt;20,'Enteric Data'!M4+(0.0048*(20-ENTERIC!$C$39)),'Enteric Data'!M4)</f>
        <v>0.442</v>
      </c>
      <c r="O5" s="98">
        <f>IF(ENTERIC!$C$39&lt;20,'Enteric Data'!O4+(0.0048*(20-ENTERIC!$C$39)),'Enteric Data'!O4)</f>
        <v>0.45800000000000002</v>
      </c>
      <c r="P5" s="98">
        <f>IF(ENTERIC!$C$39&lt;20,'Enteric Data'!P4+(0.0048*(20-ENTERIC!$C$39)),'Enteric Data'!P4)</f>
        <v>0.45800000000000002</v>
      </c>
      <c r="Q5" s="98">
        <f>IF(ENTERIC!$C$39&lt;20,'Enteric Data'!Q4+(0.0048*(20-ENTERIC!$C$39)),'Enteric Data'!Q4)</f>
        <v>0.45800000000000002</v>
      </c>
      <c r="R5" s="98">
        <f>IF(ENTERIC!$C$39&lt;20,'Enteric Data'!R4+(0.0048*(20-ENTERIC!$C$39)),'Enteric Data'!R4)</f>
        <v>0.39400000000000002</v>
      </c>
      <c r="S5" s="98">
        <f>IF(ENTERIC!$C$39&lt;20,'Enteric Data'!S4+(0.0048*(20-ENTERIC!$C$39)),'Enteric Data'!S4)</f>
        <v>0.442</v>
      </c>
      <c r="T5" s="98">
        <f>IF(ENTERIC!$C$39&lt;20,'Enteric Data'!T4+(0.0048*(20-ENTERIC!$C$39)),'Enteric Data'!T4)</f>
        <v>0.41799999999999998</v>
      </c>
      <c r="U5" s="98">
        <f>IF(ENTERIC!$C$39&lt;20,'Enteric Data'!U4+(0.0048*(20-ENTERIC!$C$39)),'Enteric Data'!U4)</f>
        <v>0.442</v>
      </c>
      <c r="V5" s="98">
        <f>IF(ENTERIC!$C$39&lt;20,'Enteric Data'!V4+(0.0048*(20-ENTERIC!$C$39)),'Enteric Data'!V4)</f>
        <v>0.39400000000000002</v>
      </c>
      <c r="W5" s="98">
        <f>IF(ENTERIC!$C$39&lt;20,'Enteric Data'!W4+(0.0048*(20-ENTERIC!$C$39)),'Enteric Data'!W4)</f>
        <v>0.442</v>
      </c>
    </row>
    <row r="6" spans="1:23" x14ac:dyDescent="0.3">
      <c r="A6" s="98">
        <v>10.3</v>
      </c>
      <c r="B6" s="98" t="s">
        <v>232</v>
      </c>
      <c r="C6" s="98" t="s">
        <v>269</v>
      </c>
      <c r="D6" s="98" t="s">
        <v>231</v>
      </c>
      <c r="E6" s="91">
        <f>E5*ENTERIC!C22^0.75</f>
        <v>55.523766068513588</v>
      </c>
      <c r="F6" s="91">
        <f>F5*ENTERIC!C22^0.75</f>
        <v>55.523766068513588</v>
      </c>
      <c r="G6" s="91">
        <f>G5*ENTERIC!D22^0.75</f>
        <v>48.427603865577851</v>
      </c>
      <c r="H6" s="91">
        <f>H5*ENTERIC!D22^0.75</f>
        <v>41.660427779558241</v>
      </c>
      <c r="I6" s="91">
        <f>I5*ENTERIC!E22^0.75</f>
        <v>66.487462685767412</v>
      </c>
      <c r="J6" s="91">
        <f>J5*ENTERIC!G22^0.75</f>
        <v>20.967906825339849</v>
      </c>
      <c r="K6" s="91">
        <f>K5*ENTERIC!H22^0.75</f>
        <v>29.03064431489857</v>
      </c>
      <c r="L6" s="91">
        <f>L5*ENTERIC!I22^0.75</f>
        <v>33.57528227911461</v>
      </c>
      <c r="M6" s="91">
        <f>M5*ENTERIC!J22^0.75</f>
        <v>40.640434443855348</v>
      </c>
      <c r="O6" s="91">
        <f>O5*ENTERIC!L22^0.75</f>
        <v>55.523766068513588</v>
      </c>
      <c r="P6" s="91">
        <f>P5*ENTERIC!L22^0.75</f>
        <v>55.523766068513588</v>
      </c>
      <c r="Q6" s="91">
        <f>Q5*ENTERIC!M22^0.75</f>
        <v>48.427603865577851</v>
      </c>
      <c r="R6" s="91">
        <f>R5*ENTERIC!M22^0.75</f>
        <v>41.660427779558241</v>
      </c>
      <c r="S6" s="91">
        <f>S5*ENTERIC!N22^0.75</f>
        <v>66.487462685767412</v>
      </c>
      <c r="T6" s="91">
        <f>T5*ENTERIC!P22^0.75</f>
        <v>20.967906825339849</v>
      </c>
      <c r="U6" s="91">
        <f>U5*ENTERIC!Q22^0.75</f>
        <v>29.03064431489857</v>
      </c>
      <c r="V6" s="91">
        <f>V5*ENTERIC!R22^0.75</f>
        <v>33.57528227911461</v>
      </c>
      <c r="W6" s="91">
        <f>W5*ENTERIC!S22^0.75</f>
        <v>40.640434443855348</v>
      </c>
    </row>
    <row r="7" spans="1:23" x14ac:dyDescent="0.3">
      <c r="A7" s="98">
        <v>10.4</v>
      </c>
      <c r="B7" s="98" t="s">
        <v>233</v>
      </c>
      <c r="C7" s="107" t="s">
        <v>234</v>
      </c>
      <c r="D7" s="107" t="s">
        <v>250</v>
      </c>
      <c r="E7" s="91">
        <f>(0*E6*(ENTERIC!C18/100))+(0.18*'Enteric Data'!E6*(ENTERIC!C19/100))+(0.36*'Enteric Data'!E6*(ENTERIC!C20/100))</f>
        <v>1.998855578466489</v>
      </c>
      <c r="F7" s="91">
        <f>(0*F6*(ENTERIC!C18/100))+(0.18*'Enteric Data'!F6*(ENTERIC!C19/100))+(0.36*'Enteric Data'!F6*(ENTERIC!C20/100))</f>
        <v>1.998855578466489</v>
      </c>
      <c r="G7" s="91">
        <f>(0*G6*(ENTERIC!D18/100))+(0.18*'Enteric Data'!G6*(ENTERIC!D19/100))+(0.36*'Enteric Data'!G6*(ENTERIC!D20/100))</f>
        <v>1.7433937391608028</v>
      </c>
      <c r="H7" s="91">
        <f>(0*H6*(ENTERIC!D18/100))+(0.18*'Enteric Data'!H6*(ENTERIC!D19/100))+(0.36*'Enteric Data'!H6*(ENTERIC!D20/100))</f>
        <v>1.4997754000640968</v>
      </c>
      <c r="I7" s="91">
        <f>(0*I6*(ENTERIC!E18/100))+(0.18*'Enteric Data'!I6*(ENTERIC!E19/100))+(0.36*'Enteric Data'!I6*(ENTERIC!E20/100))</f>
        <v>2.393548656687627</v>
      </c>
      <c r="J7" s="91">
        <f>(0*J6*(ENTERIC!G18/100))+(0.18*'Enteric Data'!J6*(ENTERIC!G19/100))+(0.36*'Enteric Data'!J6*(ENTERIC!G20/100))</f>
        <v>0.75484464571223464</v>
      </c>
      <c r="K7" s="91">
        <f>(0*K6*(ENTERIC!H18/100))+(0.18*'Enteric Data'!K6*(ENTERIC!H19/100))+(0.36*'Enteric Data'!K6*(ENTERIC!H20/100))</f>
        <v>1.0451031953363485</v>
      </c>
      <c r="L7" s="91">
        <f>(0*L6*(ENTERIC!I18/100))+(0.18*'Enteric Data'!L6*(ENTERIC!I19/100))+(0.36*'Enteric Data'!L6*(ENTERIC!I20/100))</f>
        <v>1.208710162048126</v>
      </c>
      <c r="M7" s="91">
        <f>(0*M6*(ENTERIC!J18/100))+(0.18*'Enteric Data'!M6*(ENTERIC!J19/100))+(0.36*'Enteric Data'!M6*(ENTERIC!J20/100))</f>
        <v>1.4630556399787924</v>
      </c>
      <c r="O7" s="91">
        <f>(0*O6*(ENTERIC!L18/100))+(0.18*'Enteric Data'!O6*(ENTERIC!L19/100))+(0.36*'Enteric Data'!O6*(ENTERIC!L20/100))</f>
        <v>1.998855578466489</v>
      </c>
      <c r="P7" s="91">
        <f>(0*P6*(ENTERIC!L18/100))+(0.18*'Enteric Data'!P6*(ENTERIC!L19/100))+(0.36*'Enteric Data'!P6*(ENTERIC!L20/100))</f>
        <v>1.998855578466489</v>
      </c>
      <c r="Q7" s="91">
        <f>(0*Q6*(ENTERIC!M18/100))+(0.18*'Enteric Data'!Q6*(ENTERIC!M19/100))+(0.36*'Enteric Data'!Q6*(ENTERIC!M20/100))</f>
        <v>1.7433937391608028</v>
      </c>
      <c r="R7" s="91">
        <f>(0*R6*(ENTERIC!M18/100))+(0.18*'Enteric Data'!R6*(ENTERIC!M19/100))+(0.36*'Enteric Data'!R6*(ENTERIC!M20/100))</f>
        <v>1.4997754000640968</v>
      </c>
      <c r="S7" s="91">
        <f>(0*S6*(ENTERIC!N18/100))+(0.18*'Enteric Data'!S6*(ENTERIC!N19/100))+(0.36*'Enteric Data'!S6*(ENTERIC!N20/100))</f>
        <v>2.393548656687627</v>
      </c>
      <c r="T7" s="91">
        <f>(0*T6*(ENTERIC!P18/100))+(0.18*'Enteric Data'!T6*(ENTERIC!P19/100))+(0.36*'Enteric Data'!T6*(ENTERIC!P20/100))</f>
        <v>0.75484464571223464</v>
      </c>
      <c r="U7" s="91">
        <f>(0*U6*(ENTERIC!Q18/100))+(0.18*'Enteric Data'!U6*(ENTERIC!Q19/100))+(0.36*'Enteric Data'!U6*(ENTERIC!Q20/100))</f>
        <v>1.0451031953363485</v>
      </c>
      <c r="V7" s="91">
        <f>(0*V6*(ENTERIC!R18/100))+(0.18*'Enteric Data'!V6*(ENTERIC!R19/100))+(0.36*'Enteric Data'!V6*(ENTERIC!R20/100))</f>
        <v>1.208710162048126</v>
      </c>
      <c r="W7" s="91">
        <f>(0*W6*(ENTERIC!S18/100))+(0.18*'Enteric Data'!W6*(ENTERIC!S19/100))+(0.36*'Enteric Data'!W6*(ENTERIC!S20/100))</f>
        <v>1.4630556399787924</v>
      </c>
    </row>
    <row r="8" spans="1:23" x14ac:dyDescent="0.3">
      <c r="A8" s="98">
        <v>10.6</v>
      </c>
      <c r="B8" s="98" t="s">
        <v>270</v>
      </c>
      <c r="C8" s="98" t="s">
        <v>271</v>
      </c>
      <c r="D8" s="98"/>
      <c r="E8" s="240">
        <v>0.8</v>
      </c>
      <c r="F8" s="240">
        <v>0.8</v>
      </c>
      <c r="G8" s="240">
        <v>0.8</v>
      </c>
      <c r="H8" s="240">
        <v>0.8</v>
      </c>
      <c r="I8" s="240">
        <v>1.2</v>
      </c>
      <c r="J8" s="240">
        <v>1</v>
      </c>
      <c r="K8" s="240">
        <v>1.2</v>
      </c>
      <c r="L8" s="240">
        <v>1.2</v>
      </c>
      <c r="M8" s="240">
        <v>1.2</v>
      </c>
      <c r="N8" s="107"/>
      <c r="O8" s="240">
        <v>0.8</v>
      </c>
      <c r="P8" s="240">
        <v>0.8</v>
      </c>
      <c r="Q8" s="240">
        <v>0.8</v>
      </c>
      <c r="R8" s="240">
        <v>0.8</v>
      </c>
      <c r="S8" s="240">
        <v>1.2</v>
      </c>
      <c r="T8" s="240">
        <v>1</v>
      </c>
      <c r="U8" s="240">
        <v>1.2</v>
      </c>
      <c r="V8" s="240">
        <v>1.2</v>
      </c>
      <c r="W8" s="240">
        <v>1.2</v>
      </c>
    </row>
    <row r="9" spans="1:23" x14ac:dyDescent="0.3">
      <c r="A9" s="98">
        <v>10.6</v>
      </c>
      <c r="B9" s="98" t="s">
        <v>235</v>
      </c>
      <c r="C9" s="98" t="s">
        <v>236</v>
      </c>
      <c r="D9" s="98" t="s">
        <v>237</v>
      </c>
      <c r="E9">
        <f>22.02*((ENTERIC!C22/('Enteric Data'!E8*ENTERIC!$C$40))^0.75)*(ENTERIC!C23^1.097)</f>
        <v>0</v>
      </c>
      <c r="F9" s="98">
        <f>22.02*((ENTERIC!C22/('Enteric Data'!F8*ENTERIC!$C$40))^0.75)*(ENTERIC!C23^1.097)</f>
        <v>0</v>
      </c>
      <c r="G9" s="107">
        <f>22.02*((ENTERIC!D22/('Enteric Data'!G8*ENTERIC!$C$40))^0.75)*(ENTERIC!D23^1.097)</f>
        <v>0</v>
      </c>
      <c r="H9" s="256">
        <f>22.02*((ENTERIC!D22/('Enteric Data'!H8*ENTERIC!$C$40))^0.75)*(ENTERIC!D23^1.097)</f>
        <v>0</v>
      </c>
      <c r="I9" s="256">
        <f>22.02*((ENTERIC!E22/('Enteric Data'!I8*ENTERIC!$C$40))^0.75)*(ENTERIC!E23^1.097)</f>
        <v>0</v>
      </c>
      <c r="J9" s="256">
        <f>22.02*((ENTERIC!G22/('Enteric Data'!J8*ENTERIC!$C$40))^0.75)*(ENTERIC!G23^1.097)</f>
        <v>9.3062055456372157</v>
      </c>
      <c r="K9" s="256">
        <f>22.02*((ENTERIC!H22/('Enteric Data'!K8*ENTERIC!$C$40))^0.75)*(ENTERIC!H23^1.097)</f>
        <v>8.0669772504181942</v>
      </c>
      <c r="L9" s="256">
        <f>22.02*((ENTERIC!I22/('Enteric Data'!L8*ENTERIC!$C$40))^0.75)*(ENTERIC!I23^1.097)</f>
        <v>5.6648333495623646</v>
      </c>
      <c r="M9" s="256">
        <f>22.02*((ENTERIC!J22/('Enteric Data'!M8*ENTERIC!$C$40))^0.75)*(ENTERIC!J23^1.097)</f>
        <v>22.270799438467694</v>
      </c>
      <c r="N9" s="107"/>
      <c r="O9" s="107">
        <f>22.02*((ENTERIC!L22/('Enteric Data'!O8*ENTERIC!$C$40))^0.75)*(ENTERIC!L23^1.097)</f>
        <v>0</v>
      </c>
      <c r="P9" s="107">
        <f>22.02*((ENTERIC!L22/('Enteric Data'!P8*ENTERIC!$C$40))^0.75)*(ENTERIC!L23^1.097)</f>
        <v>0</v>
      </c>
      <c r="Q9" s="107">
        <f>22.02*((ENTERIC!M22/('Enteric Data'!Q8*ENTERIC!$C$40))^0.75)*(ENTERIC!M23^1.097)</f>
        <v>0</v>
      </c>
      <c r="R9" s="256">
        <f>22.02*((ENTERIC!M22/('Enteric Data'!R8*ENTERIC!$C$40))^0.75)*(ENTERIC!M23^1.097)</f>
        <v>0</v>
      </c>
      <c r="S9" s="256">
        <f>22.02*((ENTERIC!N22/('Enteric Data'!S8*ENTERIC!$C$40))^0.75)*(ENTERIC!N23^1.097)</f>
        <v>0</v>
      </c>
      <c r="T9" s="256">
        <f>22.02*((ENTERIC!P22/('Enteric Data'!T8*ENTERIC!$C$40))^0.75)*(ENTERIC!P23^1.097)</f>
        <v>9.3062055456372157</v>
      </c>
      <c r="U9" s="256">
        <f>22.02*((ENTERIC!Q22/('Enteric Data'!U8*ENTERIC!$C$40))^0.75)*(ENTERIC!Q23^1.097)</f>
        <v>8.0669772504181942</v>
      </c>
      <c r="V9" s="256">
        <f>22.02*((ENTERIC!R22/('Enteric Data'!V8*ENTERIC!$C$40))^0.75)*(ENTERIC!R23^1.097)</f>
        <v>5.6648333495623646</v>
      </c>
      <c r="W9" s="256">
        <f>22.02*((ENTERIC!S22/('Enteric Data'!W8*ENTERIC!$C$40))^0.75)*(ENTERIC!S23^1.097)</f>
        <v>22.270799438467694</v>
      </c>
    </row>
    <row r="10" spans="1:23" x14ac:dyDescent="0.3">
      <c r="A10" s="98">
        <v>10.8</v>
      </c>
      <c r="B10" s="98" t="s">
        <v>238</v>
      </c>
      <c r="C10" s="98" t="s">
        <v>774</v>
      </c>
      <c r="D10" s="98" t="s">
        <v>239</v>
      </c>
      <c r="E10" s="91">
        <f>(ENTERIC!C24/365)*(1.47+0.4*ENTERIC!C25)</f>
        <v>70.610000000000014</v>
      </c>
      <c r="F10" s="91">
        <f>(ENTERIC!C24/365)*(1.47+0.4*ENTERIC!C25)</f>
        <v>70.610000000000014</v>
      </c>
      <c r="G10" s="256">
        <f>(ENTERIC!D24/365)*(1.47+0.4*ENTERIC!D25)</f>
        <v>10.131</v>
      </c>
      <c r="H10" s="256">
        <f>(ENTERIC!D24/365)*(1.47+0.4*ENTERIC!D25)</f>
        <v>10.131</v>
      </c>
      <c r="I10" s="107">
        <f>(ENTERIC!E24/365)*(1.47+0.4*ENTERIC!E25)</f>
        <v>0</v>
      </c>
      <c r="J10" s="107">
        <f>(ENTERIC!G24/365)*(1.47+0.4*ENTERIC!G25)</f>
        <v>0</v>
      </c>
      <c r="K10" s="107">
        <f>(ENTERIC!H24/365)*(1.47+0.4*ENTERIC!H25)</f>
        <v>0</v>
      </c>
      <c r="L10" s="107">
        <f>(ENTERIC!I24/365)*(1.47+0.4*ENTERIC!I25)</f>
        <v>0</v>
      </c>
      <c r="M10" s="107">
        <f>(ENTERIC!J24/365)*(1.47+0.4*ENTERIC!J25)</f>
        <v>0</v>
      </c>
      <c r="N10" s="107"/>
      <c r="O10" s="256">
        <f>(ENTERIC!L24/365)*(1.47+0.4*ENTERIC!L25)</f>
        <v>70.610000000000014</v>
      </c>
      <c r="P10" s="256">
        <f>(ENTERIC!L24/365)*(1.47+0.4*ENTERIC!L25)</f>
        <v>70.610000000000014</v>
      </c>
      <c r="Q10" s="256">
        <f>(ENTERIC!M24/365)*(1.47+0.4*ENTERIC!M25)</f>
        <v>10.131</v>
      </c>
      <c r="R10" s="256">
        <f>(ENTERIC!M24/365)*(1.47+0.4*ENTERIC!M25)</f>
        <v>10.131</v>
      </c>
      <c r="S10" s="256">
        <f>(ENTERIC!N24/365)*(1.47+0.4*ENTERIC!N25)</f>
        <v>0</v>
      </c>
      <c r="T10" s="256">
        <f>(ENTERIC!P24/365)*(1.47+0.4*ENTERIC!P25)</f>
        <v>0</v>
      </c>
      <c r="U10" s="256">
        <f>(ENTERIC!Q24/365)*(1.47+0.4*ENTERIC!Q25)</f>
        <v>0</v>
      </c>
      <c r="V10" s="256">
        <f>(ENTERIC!R24/365)*(1.47+0.4*ENTERIC!R25)</f>
        <v>0</v>
      </c>
      <c r="W10" s="256">
        <f>(ENTERIC!S24/365)*(1.47+0.4*ENTERIC!S25)</f>
        <v>0</v>
      </c>
    </row>
    <row r="11" spans="1:23" x14ac:dyDescent="0.3">
      <c r="A11" s="98">
        <v>10.130000000000001</v>
      </c>
      <c r="B11" s="98" t="s">
        <v>240</v>
      </c>
      <c r="C11" s="98" t="s">
        <v>775</v>
      </c>
      <c r="D11" s="98" t="s">
        <v>242</v>
      </c>
      <c r="E11" s="91">
        <f>0.1*E6</f>
        <v>5.5523766068513591</v>
      </c>
      <c r="F11" s="91"/>
      <c r="G11" s="256">
        <f t="shared" ref="G11" si="2">0.1*G6</f>
        <v>4.8427603865577851</v>
      </c>
      <c r="H11" s="256"/>
      <c r="I11" s="256"/>
      <c r="J11" s="256"/>
      <c r="K11" s="256"/>
      <c r="L11" s="256"/>
      <c r="M11" s="107"/>
      <c r="N11" s="107"/>
      <c r="O11" s="256">
        <f>0.1*O6</f>
        <v>5.5523766068513591</v>
      </c>
      <c r="P11" s="256"/>
      <c r="Q11" s="256">
        <f>0.1*Q6</f>
        <v>4.8427603865577851</v>
      </c>
      <c r="R11" s="256">
        <v>0</v>
      </c>
      <c r="S11" s="256">
        <v>0</v>
      </c>
      <c r="T11" s="256">
        <v>0</v>
      </c>
      <c r="U11" s="256">
        <v>0</v>
      </c>
      <c r="V11" s="256">
        <v>0</v>
      </c>
      <c r="W11" s="256">
        <v>0</v>
      </c>
    </row>
    <row r="12" spans="1:23" x14ac:dyDescent="0.3">
      <c r="A12" s="98" t="s">
        <v>273</v>
      </c>
      <c r="B12" s="98" t="s">
        <v>225</v>
      </c>
      <c r="C12" s="107" t="s">
        <v>1131</v>
      </c>
      <c r="D12" s="107" t="s">
        <v>1148</v>
      </c>
      <c r="E12">
        <f>L109</f>
        <v>72.5</v>
      </c>
      <c r="F12">
        <f>L109</f>
        <v>72.5</v>
      </c>
      <c r="G12" s="107">
        <f>M109</f>
        <v>72.5</v>
      </c>
      <c r="H12" s="107">
        <f>M109</f>
        <v>72.5</v>
      </c>
      <c r="I12" s="107">
        <f>N109</f>
        <v>80</v>
      </c>
      <c r="J12" s="107">
        <f>P109</f>
        <v>65</v>
      </c>
      <c r="K12" s="107">
        <f>Q109</f>
        <v>80</v>
      </c>
      <c r="L12" s="107">
        <f>R109</f>
        <v>80</v>
      </c>
      <c r="M12" s="107">
        <f>S109</f>
        <v>80</v>
      </c>
      <c r="N12" s="107"/>
      <c r="O12" s="107">
        <f>U109</f>
        <v>72.5</v>
      </c>
      <c r="P12" s="107">
        <f>U109</f>
        <v>72.5</v>
      </c>
      <c r="Q12" s="107">
        <f>V109</f>
        <v>72.5</v>
      </c>
      <c r="R12" s="107">
        <f>V109</f>
        <v>72.5</v>
      </c>
      <c r="S12" s="107">
        <f>W109</f>
        <v>80</v>
      </c>
      <c r="T12" s="107">
        <f>Y109</f>
        <v>65</v>
      </c>
      <c r="U12" s="107">
        <f>Z109</f>
        <v>80</v>
      </c>
      <c r="V12" s="107">
        <f>AA109</f>
        <v>80</v>
      </c>
      <c r="W12" s="107">
        <f>AB109</f>
        <v>80</v>
      </c>
    </row>
    <row r="13" spans="1:23" ht="28.8" x14ac:dyDescent="0.3">
      <c r="A13" s="98">
        <v>10.14</v>
      </c>
      <c r="B13" s="98" t="s">
        <v>244</v>
      </c>
      <c r="C13" s="111" t="s">
        <v>243</v>
      </c>
      <c r="D13" s="98" t="s">
        <v>245</v>
      </c>
      <c r="E13" s="116">
        <f t="shared" ref="E13:M13" si="3">(1.123-(4.092*10^-3*E12)+(1.126*10^-5*E12^2)-(25.4/E12))</f>
        <v>0.53517054741379311</v>
      </c>
      <c r="F13" s="116">
        <f t="shared" si="3"/>
        <v>0.53517054741379311</v>
      </c>
      <c r="G13" s="241">
        <f t="shared" si="3"/>
        <v>0.53517054741379311</v>
      </c>
      <c r="H13" s="241">
        <f t="shared" si="3"/>
        <v>0.53517054741379311</v>
      </c>
      <c r="I13" s="241">
        <f t="shared" si="3"/>
        <v>0.55020400000000003</v>
      </c>
      <c r="J13" s="241">
        <f t="shared" si="3"/>
        <v>0.51382426923076929</v>
      </c>
      <c r="K13" s="241">
        <f t="shared" si="3"/>
        <v>0.55020400000000003</v>
      </c>
      <c r="L13" s="241">
        <f t="shared" si="3"/>
        <v>0.55020400000000003</v>
      </c>
      <c r="M13" s="241">
        <f t="shared" si="3"/>
        <v>0.55020400000000003</v>
      </c>
      <c r="N13" s="107"/>
      <c r="O13" s="241">
        <f t="shared" ref="O13:W13" si="4">(1.123-(4.092*10^-3*O12)+(1.126*10^-5*O12^2)-(25.4/O12))</f>
        <v>0.53517054741379311</v>
      </c>
      <c r="P13" s="241">
        <f t="shared" si="4"/>
        <v>0.53517054741379311</v>
      </c>
      <c r="Q13" s="241">
        <f t="shared" si="4"/>
        <v>0.53517054741379311</v>
      </c>
      <c r="R13" s="241">
        <f t="shared" si="4"/>
        <v>0.53517054741379311</v>
      </c>
      <c r="S13" s="241">
        <f t="shared" si="4"/>
        <v>0.55020400000000003</v>
      </c>
      <c r="T13" s="241">
        <f t="shared" si="4"/>
        <v>0.51382426923076929</v>
      </c>
      <c r="U13" s="241">
        <f t="shared" si="4"/>
        <v>0.55020400000000003</v>
      </c>
      <c r="V13" s="241">
        <f t="shared" si="4"/>
        <v>0.55020400000000003</v>
      </c>
      <c r="W13" s="241">
        <f t="shared" si="4"/>
        <v>0.55020400000000003</v>
      </c>
    </row>
    <row r="14" spans="1:23" ht="28.8" x14ac:dyDescent="0.3">
      <c r="A14" s="98">
        <v>10.15</v>
      </c>
      <c r="B14" s="98" t="s">
        <v>246</v>
      </c>
      <c r="C14" s="111" t="s">
        <v>251</v>
      </c>
      <c r="D14" s="98" t="s">
        <v>247</v>
      </c>
      <c r="E14" s="116">
        <f t="shared" ref="E14:M14" si="5">(1.164-(5.16*10^-3*E12)+(1.308*10^-5*E12^2)-(37.4/E12))</f>
        <v>0.3427896810344826</v>
      </c>
      <c r="F14" s="116">
        <f t="shared" si="5"/>
        <v>0.3427896810344826</v>
      </c>
      <c r="G14" s="241">
        <f t="shared" si="5"/>
        <v>0.3427896810344826</v>
      </c>
      <c r="H14" s="241">
        <f t="shared" si="5"/>
        <v>0.3427896810344826</v>
      </c>
      <c r="I14" s="241">
        <f t="shared" si="5"/>
        <v>0.36741199999999991</v>
      </c>
      <c r="J14" s="241">
        <f t="shared" si="5"/>
        <v>0.30847838461538446</v>
      </c>
      <c r="K14" s="241">
        <f t="shared" si="5"/>
        <v>0.36741199999999991</v>
      </c>
      <c r="L14" s="241">
        <f t="shared" si="5"/>
        <v>0.36741199999999991</v>
      </c>
      <c r="M14" s="241">
        <f t="shared" si="5"/>
        <v>0.36741199999999991</v>
      </c>
      <c r="N14" s="107"/>
      <c r="O14" s="241">
        <f t="shared" ref="O14:W14" si="6">(1.164-(5.16*10^-3*O12)+(1.308*10^-5*O12^2)-(37.4/O12))</f>
        <v>0.3427896810344826</v>
      </c>
      <c r="P14" s="241">
        <f t="shared" si="6"/>
        <v>0.3427896810344826</v>
      </c>
      <c r="Q14" s="241">
        <f t="shared" si="6"/>
        <v>0.3427896810344826</v>
      </c>
      <c r="R14" s="241">
        <f t="shared" si="6"/>
        <v>0.3427896810344826</v>
      </c>
      <c r="S14" s="241">
        <f t="shared" si="6"/>
        <v>0.36741199999999991</v>
      </c>
      <c r="T14" s="241">
        <f t="shared" si="6"/>
        <v>0.30847838461538446</v>
      </c>
      <c r="U14" s="241">
        <f t="shared" si="6"/>
        <v>0.36741199999999991</v>
      </c>
      <c r="V14" s="241">
        <f t="shared" si="6"/>
        <v>0.36741199999999991</v>
      </c>
      <c r="W14" s="241">
        <f t="shared" si="6"/>
        <v>0.36741199999999991</v>
      </c>
    </row>
    <row r="15" spans="1:23" x14ac:dyDescent="0.3">
      <c r="A15" s="98">
        <v>10.16</v>
      </c>
      <c r="B15" s="98" t="s">
        <v>248</v>
      </c>
      <c r="C15" s="98" t="s">
        <v>252</v>
      </c>
      <c r="D15" s="98" t="s">
        <v>249</v>
      </c>
      <c r="E15" s="239">
        <f>((E6+E7+E10+E11/E13)+(E9/E14))/(E12/100)</f>
        <v>191.04494944053437</v>
      </c>
      <c r="F15" s="239">
        <f>((F6+F7/F13)+(F9/F14))/(F12/100)</f>
        <v>81.736212523558933</v>
      </c>
      <c r="G15" s="258">
        <f t="shared" ref="G15" si="7">((G6+G7+G10+G11/G13)+(G9/G14))/(G12/100)</f>
        <v>95.656553840477912</v>
      </c>
      <c r="H15" s="258">
        <f t="shared" ref="H15:M15" si="8">((H6+H7/H13)+(H9/H14))/(H12/100)</f>
        <v>61.328073002298595</v>
      </c>
      <c r="I15" s="258">
        <f t="shared" si="8"/>
        <v>88.547194713796145</v>
      </c>
      <c r="J15" s="258">
        <f t="shared" si="8"/>
        <v>80.930883867312971</v>
      </c>
      <c r="K15" s="258">
        <f t="shared" si="8"/>
        <v>66.107929318331799</v>
      </c>
      <c r="L15" s="258">
        <f t="shared" si="8"/>
        <v>63.987908481631592</v>
      </c>
      <c r="M15" s="258">
        <f t="shared" si="8"/>
        <v>129.89359850908423</v>
      </c>
      <c r="N15" s="107"/>
      <c r="O15" s="258">
        <f>((O6+O7+O10+O11/O13)+(O9/O14))/(O12/100)</f>
        <v>191.04494944053437</v>
      </c>
      <c r="P15" s="258">
        <f>((P6+P7/P13)+(P9/P14))/(P12/100)</f>
        <v>81.736212523558933</v>
      </c>
      <c r="Q15" s="259">
        <f t="shared" ref="Q15" si="9">((Q6+Q7+Q10+Q11/Q13)+(Q9/Q14))/(Q12/100)</f>
        <v>95.656553840477912</v>
      </c>
      <c r="R15" s="259">
        <f t="shared" ref="R15:W15" si="10">((R6+R7/R13)+(R9/R14))/(R12/100)</f>
        <v>61.328073002298595</v>
      </c>
      <c r="S15" s="258">
        <f t="shared" si="10"/>
        <v>88.547194713796145</v>
      </c>
      <c r="T15" s="258">
        <f t="shared" si="10"/>
        <v>80.930883867312971</v>
      </c>
      <c r="U15" s="258">
        <f t="shared" si="10"/>
        <v>66.107929318331799</v>
      </c>
      <c r="V15" s="258">
        <f t="shared" si="10"/>
        <v>63.987908481631592</v>
      </c>
      <c r="W15" s="258">
        <f t="shared" si="10"/>
        <v>129.89359850908423</v>
      </c>
    </row>
    <row r="16" spans="1:23" x14ac:dyDescent="0.3">
      <c r="C16" t="s">
        <v>1141</v>
      </c>
      <c r="E16" s="90">
        <f>ENTERIC!C15*(ENTERIC!C16/100)</f>
        <v>900</v>
      </c>
      <c r="F16" s="90">
        <f>ENTERIC!C15*(1-(ENTERIC!C16/100))</f>
        <v>99.999999999999972</v>
      </c>
      <c r="G16" s="90">
        <f>ENTERIC!D15*(ENTERIC!D16/100)</f>
        <v>720</v>
      </c>
      <c r="H16" s="90">
        <f>ENTERIC!D15*(1-(ENTERIC!D16/100))</f>
        <v>179.99999999999997</v>
      </c>
      <c r="I16" s="90">
        <f>ENTERIC!E15</f>
        <v>40</v>
      </c>
      <c r="J16" s="90">
        <f>ENTERIC!G15</f>
        <v>75</v>
      </c>
      <c r="K16" s="90">
        <f>ENTERIC!H15</f>
        <v>300</v>
      </c>
      <c r="L16" s="90">
        <f>ENTERIC!I15</f>
        <v>150</v>
      </c>
      <c r="M16" s="90">
        <f>ENTERIC!J15</f>
        <v>300</v>
      </c>
      <c r="O16">
        <f>ENTERIC!L15*(ENTERIC!L16/100)</f>
        <v>900</v>
      </c>
      <c r="P16">
        <f>ENTERIC!L15*(1-(ENTERIC!L16/100))</f>
        <v>99.999999999999972</v>
      </c>
      <c r="Q16">
        <f>ENTERIC!M15*(ENTERIC!M16/100)</f>
        <v>720</v>
      </c>
      <c r="R16">
        <f>ENTERIC!M15*(1-(ENTERIC!M16/100))</f>
        <v>179.99999999999997</v>
      </c>
      <c r="S16" s="90">
        <f>ENTERIC!N15</f>
        <v>40</v>
      </c>
      <c r="T16" s="90">
        <f>ENTERIC!P15</f>
        <v>75</v>
      </c>
      <c r="U16" s="90">
        <f>ENTERIC!Q15</f>
        <v>300</v>
      </c>
      <c r="V16" s="90">
        <f>ENTERIC!R15</f>
        <v>150</v>
      </c>
      <c r="W16" s="90">
        <f>ENTERIC!S15</f>
        <v>300</v>
      </c>
    </row>
    <row r="17" spans="3:23" s="98" customFormat="1" x14ac:dyDescent="0.3">
      <c r="E17" s="90"/>
      <c r="F17" s="90"/>
      <c r="G17" s="90"/>
      <c r="H17" s="90"/>
      <c r="I17" s="90"/>
      <c r="J17" s="90"/>
      <c r="K17" s="90"/>
      <c r="L17" s="90"/>
      <c r="M17" s="90"/>
    </row>
    <row r="18" spans="3:23" x14ac:dyDescent="0.3">
      <c r="C18" s="100" t="s">
        <v>1142</v>
      </c>
    </row>
    <row r="19" spans="3:23" x14ac:dyDescent="0.3">
      <c r="D19" t="s">
        <v>1134</v>
      </c>
      <c r="E19" s="117">
        <f>0.0392*E15</f>
        <v>7.4889620180689471</v>
      </c>
      <c r="F19" s="117">
        <f t="shared" ref="F19" si="11">0.0392*F15</f>
        <v>3.20405953092351</v>
      </c>
      <c r="G19" s="240">
        <f>0.0503*G15</f>
        <v>4.8115246581760385</v>
      </c>
      <c r="H19" s="240">
        <f>0.0503*H15</f>
        <v>3.0848020720156191</v>
      </c>
      <c r="I19" s="240">
        <f>0.0447*I15</f>
        <v>3.9580596037066873</v>
      </c>
      <c r="J19" s="240">
        <f>0.0447*J15</f>
        <v>3.6176105088688897</v>
      </c>
      <c r="K19" s="240">
        <f>0.0447*K15</f>
        <v>2.955024440529431</v>
      </c>
      <c r="L19" s="240">
        <f>0.0447*L15</f>
        <v>2.860259509128932</v>
      </c>
      <c r="M19" s="240">
        <f>0.0447*M15</f>
        <v>5.8062438533560643</v>
      </c>
      <c r="O19" s="117">
        <f>0.0392*O15</f>
        <v>7.4889620180689471</v>
      </c>
      <c r="P19" s="117">
        <f>0.0392*P15</f>
        <v>3.20405953092351</v>
      </c>
      <c r="Q19" s="240">
        <f>0.0503*Q15</f>
        <v>4.8115246581760385</v>
      </c>
      <c r="R19" s="240">
        <f>0.0503*R15</f>
        <v>3.0848020720156191</v>
      </c>
      <c r="S19" s="240">
        <f>0.0447*S15</f>
        <v>3.9580596037066873</v>
      </c>
      <c r="T19" s="240">
        <f>0.0447*T15</f>
        <v>3.6176105088688897</v>
      </c>
      <c r="U19" s="240">
        <f>0.0447*U15</f>
        <v>2.955024440529431</v>
      </c>
      <c r="V19" s="240">
        <f>0.0447*V15</f>
        <v>2.860259509128932</v>
      </c>
      <c r="W19" s="240">
        <f>0.0447*W15</f>
        <v>5.8062438533560643</v>
      </c>
    </row>
    <row r="20" spans="3:23" x14ac:dyDescent="0.3">
      <c r="D20" t="s">
        <v>1135</v>
      </c>
      <c r="E20" s="240">
        <f>L132</f>
        <v>1.019655</v>
      </c>
      <c r="F20" s="240">
        <f>L132</f>
        <v>1.019655</v>
      </c>
      <c r="G20" s="240"/>
      <c r="H20" s="240"/>
      <c r="I20" s="240">
        <f>N132</f>
        <v>0.15131999999999998</v>
      </c>
      <c r="J20" s="240">
        <f t="shared" ref="J20:M21" si="12">P132</f>
        <v>0.26948999999999995</v>
      </c>
      <c r="K20" s="241">
        <f t="shared" si="12"/>
        <v>0.15131999999999998</v>
      </c>
      <c r="L20" s="241">
        <f t="shared" si="12"/>
        <v>0.15131999999999998</v>
      </c>
      <c r="M20" s="241">
        <f t="shared" si="12"/>
        <v>0.15131999999999998</v>
      </c>
      <c r="O20" s="240">
        <f>U132</f>
        <v>1.019655</v>
      </c>
      <c r="P20" s="240">
        <f>U132</f>
        <v>1.019655</v>
      </c>
      <c r="S20" s="240">
        <f>W132</f>
        <v>0.15131999999999998</v>
      </c>
      <c r="T20" s="240">
        <f t="shared" ref="T20:W21" si="13">Y132</f>
        <v>0.26948999999999995</v>
      </c>
      <c r="U20" s="241">
        <f t="shared" si="13"/>
        <v>0.15131999999999998</v>
      </c>
      <c r="V20" s="241">
        <f t="shared" si="13"/>
        <v>0.15131999999999998</v>
      </c>
      <c r="W20" s="241">
        <f t="shared" si="13"/>
        <v>0.15131999999999998</v>
      </c>
    </row>
    <row r="21" spans="3:23" x14ac:dyDescent="0.3">
      <c r="D21" t="s">
        <v>1136</v>
      </c>
      <c r="E21" s="117">
        <f>L133</f>
        <v>0.93299999999999994</v>
      </c>
      <c r="F21" s="117">
        <f>L133</f>
        <v>0.93299999999999994</v>
      </c>
      <c r="G21" s="240">
        <f>M133</f>
        <v>0.3276</v>
      </c>
      <c r="H21" s="240">
        <f>M133</f>
        <v>0.3276</v>
      </c>
      <c r="I21" s="240">
        <f>N133</f>
        <v>0.33200000000000002</v>
      </c>
      <c r="J21" s="240">
        <f t="shared" si="12"/>
        <v>6.6400000000000001E-2</v>
      </c>
      <c r="K21" s="240">
        <f t="shared" si="12"/>
        <v>0.33200000000000002</v>
      </c>
      <c r="L21" s="240">
        <f t="shared" si="12"/>
        <v>0.33200000000000002</v>
      </c>
      <c r="M21" s="240">
        <f t="shared" si="12"/>
        <v>0.33200000000000002</v>
      </c>
      <c r="O21" s="117">
        <f>U133</f>
        <v>0.93299999999999994</v>
      </c>
      <c r="P21" s="117">
        <f>U133</f>
        <v>0.93299999999999994</v>
      </c>
      <c r="Q21" s="240">
        <f>V133</f>
        <v>0.3276</v>
      </c>
      <c r="R21" s="240">
        <f>V133</f>
        <v>0.3276</v>
      </c>
      <c r="S21" s="240">
        <f>W133</f>
        <v>0.33200000000000002</v>
      </c>
      <c r="T21" s="240">
        <f t="shared" si="13"/>
        <v>6.6400000000000001E-2</v>
      </c>
      <c r="U21" s="240">
        <f t="shared" si="13"/>
        <v>0.33200000000000002</v>
      </c>
      <c r="V21" s="240">
        <f t="shared" si="13"/>
        <v>0.33200000000000002</v>
      </c>
      <c r="W21" s="240">
        <f t="shared" si="13"/>
        <v>0.33200000000000002</v>
      </c>
    </row>
    <row r="22" spans="3:23" x14ac:dyDescent="0.3">
      <c r="D22" t="s">
        <v>1137</v>
      </c>
      <c r="E22" s="240">
        <f>0.0014*ENTERIC!C22</f>
        <v>0.84</v>
      </c>
      <c r="F22" s="240">
        <f>0.0014*ENTERIC!C22</f>
        <v>0.84</v>
      </c>
      <c r="G22" s="240">
        <f>0.0008*ENTERIC!D22</f>
        <v>0.4</v>
      </c>
      <c r="H22" s="240">
        <f>0.0008*ENTERIC!D22</f>
        <v>0.4</v>
      </c>
      <c r="I22" s="240">
        <f>0.0014*ENTERIC!E22</f>
        <v>1.1199999999999999</v>
      </c>
      <c r="J22" s="240">
        <f>0.0014*ENTERIC!G22</f>
        <v>0.25900000000000001</v>
      </c>
      <c r="K22" s="240">
        <f>0.0014*ENTERIC!H22</f>
        <v>0.371</v>
      </c>
      <c r="L22" s="240">
        <f>0.0014*ENTERIC!I22</f>
        <v>0.52500000000000002</v>
      </c>
      <c r="M22" s="240">
        <f>0.0014*ENTERIC!J22</f>
        <v>0.58099999999999996</v>
      </c>
      <c r="O22" s="240">
        <f>0.0014*ENTERIC!L22</f>
        <v>0.84</v>
      </c>
      <c r="P22" s="240">
        <f>0.0014*ENTERIC!L22</f>
        <v>0.84</v>
      </c>
      <c r="Q22" s="240">
        <f>0.0008*ENTERIC!M22</f>
        <v>0.4</v>
      </c>
      <c r="R22" s="240">
        <f>0.0008*ENTERIC!M22</f>
        <v>0.4</v>
      </c>
      <c r="S22" s="240">
        <f>0.0014*ENTERIC!N22</f>
        <v>1.1199999999999999</v>
      </c>
      <c r="T22" s="240">
        <f>0.0014*ENTERIC!P22</f>
        <v>0.25900000000000001</v>
      </c>
      <c r="U22" s="240">
        <f>0.0014*ENTERIC!Q22</f>
        <v>0.371</v>
      </c>
      <c r="V22" s="240">
        <f>0.0014*ENTERIC!R22</f>
        <v>0.52500000000000002</v>
      </c>
      <c r="W22" s="240">
        <f>0.0014*ENTERIC!S22</f>
        <v>0.58099999999999996</v>
      </c>
    </row>
    <row r="23" spans="3:23" x14ac:dyDescent="0.3">
      <c r="D23" t="s">
        <v>1140</v>
      </c>
      <c r="E23" s="240">
        <f>0.3743+E19+E20-E21+E22</f>
        <v>8.7899170180689463</v>
      </c>
      <c r="F23" s="240">
        <f t="shared" ref="F23" si="14">0.3743+F19+F20-F21+F22</f>
        <v>4.5050145309235097</v>
      </c>
      <c r="G23" s="240">
        <f>0.4535+G19-G21+G22</f>
        <v>5.3374246581760385</v>
      </c>
      <c r="H23" s="240">
        <f>0.4535+H19-H21+H22</f>
        <v>3.6107020720156191</v>
      </c>
      <c r="I23" s="240">
        <f>-0.0558+I19+I20-I21+I22</f>
        <v>4.8415796037066876</v>
      </c>
      <c r="J23" s="240">
        <f>-0.0558+J19+J20-J21+J22</f>
        <v>4.0239005088688895</v>
      </c>
      <c r="K23" s="240">
        <f>-0.0558+K19+K20-K21+K22</f>
        <v>3.0895444405294312</v>
      </c>
      <c r="L23" s="240">
        <f>-0.0558+L19+L20-L21+L22</f>
        <v>3.1487795091289321</v>
      </c>
      <c r="M23" s="240">
        <f>-0.0558+M19+M20-M21+M22</f>
        <v>6.1507638533560645</v>
      </c>
      <c r="O23" s="240">
        <f>0.3743+O19+O20-O21+O22</f>
        <v>8.7899170180689463</v>
      </c>
      <c r="P23" s="240">
        <f t="shared" ref="P23" si="15">0.3743+P19+P20-P21+P22</f>
        <v>4.5050145309235097</v>
      </c>
      <c r="Q23" s="240">
        <f>0.4535+Q19-Q21+Q22</f>
        <v>5.3374246581760385</v>
      </c>
      <c r="R23" s="240">
        <f>0.4535+R19-R21+R22</f>
        <v>3.6107020720156191</v>
      </c>
      <c r="S23" s="240">
        <f>-0.0558+S19+S20-S21+S22</f>
        <v>4.8415796037066876</v>
      </c>
      <c r="T23" s="240">
        <f>-0.0558+T19+T20-T21+T22</f>
        <v>4.0239005088688895</v>
      </c>
      <c r="U23" s="240">
        <f>-0.0558+U19+U20-U21+U22</f>
        <v>3.0895444405294312</v>
      </c>
      <c r="V23" s="240">
        <f>-0.0558+V19+V20-V21+V22</f>
        <v>3.1487795091289321</v>
      </c>
      <c r="W23" s="240">
        <f>-0.0558+W19+W20-W21+W22</f>
        <v>6.1507638533560645</v>
      </c>
    </row>
    <row r="24" spans="3:23" x14ac:dyDescent="0.3">
      <c r="D24" s="126" t="s">
        <v>1143</v>
      </c>
      <c r="E24" s="109">
        <f>(((E23*E16*365)/13.29)/1000)*21</f>
        <v>4562.6217117493325</v>
      </c>
      <c r="F24" s="109">
        <f t="shared" ref="F24:K24" si="16">(((F23*F16*365)/13.29)/1000)*21</f>
        <v>259.82645883768771</v>
      </c>
      <c r="G24" s="109">
        <f t="shared" si="16"/>
        <v>2216.416794848903</v>
      </c>
      <c r="H24" s="109">
        <f t="shared" si="16"/>
        <v>374.84466883069592</v>
      </c>
      <c r="I24" s="109">
        <f t="shared" si="16"/>
        <v>111.69513216677731</v>
      </c>
      <c r="J24" s="109">
        <f t="shared" si="16"/>
        <v>174.0586760749438</v>
      </c>
      <c r="K24" s="109">
        <f t="shared" si="16"/>
        <v>534.56790376203367</v>
      </c>
      <c r="L24" s="109">
        <f>(((L23*L16*365)/13.29)/1000)*21</f>
        <v>272.40852073897588</v>
      </c>
      <c r="M24" s="109">
        <f>(((M23*M16*365)/13.29)/1000)*21</f>
        <v>1064.2348744012245</v>
      </c>
      <c r="N24" s="90"/>
      <c r="O24" s="109">
        <f>(((O23*O16*365)/13.29)/1000)*21</f>
        <v>4562.6217117493325</v>
      </c>
      <c r="P24" s="109">
        <f t="shared" ref="P24" si="17">(((P23*P16*365)/13.29)/1000)*21</f>
        <v>259.82645883768771</v>
      </c>
      <c r="Q24" s="109">
        <f t="shared" ref="Q24" si="18">(((Q23*Q16*365)/13.29)/1000)*21</f>
        <v>2216.416794848903</v>
      </c>
      <c r="R24" s="109">
        <f t="shared" ref="R24" si="19">(((R23*R16*365)/13.29)/1000)*21</f>
        <v>374.84466883069592</v>
      </c>
      <c r="S24" s="109">
        <f t="shared" ref="S24" si="20">(((S23*S16*365)/13.29)/1000)*21</f>
        <v>111.69513216677731</v>
      </c>
      <c r="T24" s="109">
        <f t="shared" ref="T24" si="21">(((T23*T16*365)/13.29)/1000)*21</f>
        <v>174.0586760749438</v>
      </c>
      <c r="U24" s="109">
        <f t="shared" ref="U24" si="22">(((U23*U16*365)/13.29)/1000)*21</f>
        <v>534.56790376203367</v>
      </c>
      <c r="V24" s="109">
        <f>(((V23*V16*365)/13.29)/1000)*21</f>
        <v>272.40852073897588</v>
      </c>
      <c r="W24" s="109">
        <f>(((W23*W16*365)/13.29)/1000)*21</f>
        <v>1064.2348744012245</v>
      </c>
    </row>
    <row r="25" spans="3:23" x14ac:dyDescent="0.3">
      <c r="D25" s="100" t="s">
        <v>1144</v>
      </c>
      <c r="E25" s="103">
        <f>SUM(E24:M24)</f>
        <v>9570.6747414105757</v>
      </c>
      <c r="F25" s="90"/>
      <c r="G25" s="90"/>
      <c r="H25" s="90"/>
      <c r="I25" s="90"/>
      <c r="J25" s="90"/>
      <c r="K25" s="90"/>
      <c r="L25" s="90"/>
      <c r="M25" s="90"/>
      <c r="N25" s="90"/>
      <c r="O25" s="103">
        <f>SUM(O24:W24)</f>
        <v>9570.6747414105757</v>
      </c>
      <c r="P25" s="90"/>
      <c r="Q25" s="90"/>
      <c r="R25" s="90"/>
      <c r="S25" s="90"/>
      <c r="T25" s="90"/>
      <c r="U25" s="90"/>
      <c r="V25" s="90"/>
      <c r="W25" s="90"/>
    </row>
    <row r="27" spans="3:23" x14ac:dyDescent="0.3">
      <c r="D27" t="s">
        <v>1145</v>
      </c>
      <c r="E27" s="90">
        <f>E25-O25</f>
        <v>0</v>
      </c>
    </row>
    <row r="41" spans="1:10" s="98" customFormat="1" x14ac:dyDescent="0.3">
      <c r="B41" s="303" t="s">
        <v>780</v>
      </c>
      <c r="C41" s="303"/>
      <c r="D41" s="303"/>
      <c r="E41" s="303"/>
      <c r="F41" s="303"/>
      <c r="G41" s="303"/>
      <c r="H41" s="303"/>
      <c r="I41" s="303"/>
    </row>
    <row r="42" spans="1:10" s="98" customFormat="1" x14ac:dyDescent="0.3">
      <c r="A42" s="100" t="s">
        <v>28</v>
      </c>
      <c r="B42" s="100" t="s">
        <v>776</v>
      </c>
      <c r="C42" s="100" t="s">
        <v>777</v>
      </c>
      <c r="D42" s="100" t="s">
        <v>778</v>
      </c>
      <c r="E42" s="100" t="s">
        <v>255</v>
      </c>
      <c r="F42" s="100" t="s">
        <v>256</v>
      </c>
      <c r="G42" s="100" t="s">
        <v>257</v>
      </c>
      <c r="H42" s="100" t="s">
        <v>779</v>
      </c>
      <c r="I42" s="100" t="s">
        <v>259</v>
      </c>
      <c r="J42" s="100"/>
    </row>
    <row r="43" spans="1:10" s="98" customFormat="1" x14ac:dyDescent="0.3">
      <c r="A43" s="98" t="s">
        <v>23</v>
      </c>
      <c r="B43" s="98">
        <v>275</v>
      </c>
      <c r="C43" s="98">
        <v>200</v>
      </c>
      <c r="D43" s="98">
        <v>275</v>
      </c>
      <c r="E43" s="98">
        <v>75</v>
      </c>
      <c r="F43" s="98">
        <v>75</v>
      </c>
    </row>
    <row r="44" spans="1:10" s="98" customFormat="1" x14ac:dyDescent="0.3">
      <c r="A44" s="98" t="s">
        <v>25</v>
      </c>
      <c r="B44" s="98">
        <v>350</v>
      </c>
      <c r="C44" s="98">
        <f>AVERAGE(300,325)</f>
        <v>312.5</v>
      </c>
      <c r="D44" s="98">
        <f>AVERAGE(450,400)</f>
        <v>425</v>
      </c>
      <c r="E44" s="98">
        <v>200</v>
      </c>
      <c r="F44" s="98">
        <v>200</v>
      </c>
    </row>
    <row r="45" spans="1:10" s="98" customFormat="1" x14ac:dyDescent="0.3">
      <c r="A45" s="98" t="s">
        <v>20</v>
      </c>
      <c r="B45" s="98">
        <v>550</v>
      </c>
      <c r="C45" s="98">
        <v>500</v>
      </c>
      <c r="D45" s="98">
        <v>600</v>
      </c>
      <c r="E45" s="98">
        <v>230</v>
      </c>
      <c r="F45" s="98">
        <v>230</v>
      </c>
    </row>
    <row r="46" spans="1:10" s="98" customFormat="1" x14ac:dyDescent="0.3">
      <c r="A46" s="98" t="s">
        <v>26</v>
      </c>
      <c r="B46" s="98">
        <v>275</v>
      </c>
      <c r="C46" s="98">
        <v>125</v>
      </c>
      <c r="D46" s="98">
        <v>200</v>
      </c>
      <c r="E46" s="98">
        <v>80</v>
      </c>
      <c r="F46" s="98">
        <v>80</v>
      </c>
    </row>
    <row r="47" spans="1:10" s="98" customFormat="1" x14ac:dyDescent="0.3">
      <c r="A47" s="98" t="s">
        <v>22</v>
      </c>
      <c r="B47" s="98">
        <v>400</v>
      </c>
      <c r="C47" s="98">
        <v>400</v>
      </c>
      <c r="D47" s="98">
        <v>450</v>
      </c>
      <c r="E47" s="98">
        <v>230</v>
      </c>
      <c r="F47" s="98">
        <v>230</v>
      </c>
    </row>
    <row r="48" spans="1:10" s="98" customFormat="1" x14ac:dyDescent="0.3">
      <c r="A48" s="98" t="s">
        <v>24</v>
      </c>
      <c r="B48" s="98">
        <v>275</v>
      </c>
      <c r="C48" s="98">
        <f>B48*0.8</f>
        <v>220</v>
      </c>
      <c r="D48" s="98">
        <v>275</v>
      </c>
      <c r="E48" s="98">
        <v>75</v>
      </c>
      <c r="F48" s="98">
        <v>75</v>
      </c>
    </row>
    <row r="49" spans="1:9" s="98" customFormat="1" x14ac:dyDescent="0.3">
      <c r="A49" s="98" t="s">
        <v>18</v>
      </c>
      <c r="B49" s="98">
        <v>600</v>
      </c>
      <c r="C49" s="98">
        <v>500</v>
      </c>
      <c r="D49" s="98">
        <v>800</v>
      </c>
      <c r="E49" s="98">
        <v>100</v>
      </c>
      <c r="F49" s="98">
        <v>185</v>
      </c>
      <c r="G49" s="98">
        <v>265</v>
      </c>
      <c r="H49" s="98">
        <v>375</v>
      </c>
      <c r="I49" s="98">
        <v>415</v>
      </c>
    </row>
    <row r="50" spans="1:9" s="98" customFormat="1" x14ac:dyDescent="0.3">
      <c r="A50" s="98" t="s">
        <v>21</v>
      </c>
      <c r="B50" s="98">
        <v>500</v>
      </c>
      <c r="C50" s="98">
        <v>400</v>
      </c>
      <c r="D50" s="98">
        <v>450</v>
      </c>
      <c r="E50" s="98">
        <v>200</v>
      </c>
      <c r="F50" s="98">
        <v>200</v>
      </c>
    </row>
    <row r="51" spans="1:9" s="98" customFormat="1" x14ac:dyDescent="0.3">
      <c r="A51" s="98" t="s">
        <v>19</v>
      </c>
      <c r="B51" s="98">
        <v>600</v>
      </c>
      <c r="C51" s="98">
        <f>B51*0.8</f>
        <v>480</v>
      </c>
      <c r="D51" s="98">
        <v>600</v>
      </c>
      <c r="E51" s="98">
        <v>230</v>
      </c>
      <c r="F51" s="98">
        <v>230</v>
      </c>
      <c r="H51" s="98">
        <v>400</v>
      </c>
    </row>
    <row r="52" spans="1:9" s="98" customFormat="1" x14ac:dyDescent="0.3"/>
    <row r="53" spans="1:9" s="98" customFormat="1" x14ac:dyDescent="0.3">
      <c r="B53" s="303" t="s">
        <v>781</v>
      </c>
      <c r="C53" s="303"/>
      <c r="D53" s="303"/>
      <c r="E53" s="303"/>
      <c r="F53" s="303"/>
      <c r="G53" s="303"/>
      <c r="H53" s="303"/>
      <c r="I53" s="303"/>
    </row>
    <row r="54" spans="1:9" s="98" customFormat="1" x14ac:dyDescent="0.3">
      <c r="A54" s="100" t="s">
        <v>28</v>
      </c>
      <c r="B54" s="100" t="s">
        <v>776</v>
      </c>
      <c r="C54" s="100" t="s">
        <v>777</v>
      </c>
      <c r="D54" s="100" t="s">
        <v>778</v>
      </c>
      <c r="E54" s="100" t="s">
        <v>255</v>
      </c>
      <c r="F54" s="100" t="s">
        <v>256</v>
      </c>
      <c r="G54" s="100" t="s">
        <v>257</v>
      </c>
      <c r="H54" s="100" t="s">
        <v>779</v>
      </c>
      <c r="I54" s="100" t="s">
        <v>259</v>
      </c>
    </row>
    <row r="55" spans="1:9" s="98" customFormat="1" x14ac:dyDescent="0.3">
      <c r="A55" s="98" t="s">
        <v>23</v>
      </c>
      <c r="B55" s="98">
        <v>0</v>
      </c>
      <c r="C55" s="98">
        <v>0</v>
      </c>
      <c r="D55" s="98">
        <v>0</v>
      </c>
      <c r="E55" s="98">
        <v>0.1</v>
      </c>
      <c r="F55" s="98">
        <v>0.1</v>
      </c>
    </row>
    <row r="56" spans="1:9" s="98" customFormat="1" x14ac:dyDescent="0.3">
      <c r="A56" s="98" t="s">
        <v>25</v>
      </c>
      <c r="B56" s="98">
        <v>0</v>
      </c>
      <c r="C56" s="98">
        <v>0</v>
      </c>
      <c r="D56" s="98">
        <v>0</v>
      </c>
      <c r="E56" s="98">
        <v>0.2</v>
      </c>
      <c r="F56" s="98">
        <v>0.2</v>
      </c>
    </row>
    <row r="57" spans="1:9" s="98" customFormat="1" x14ac:dyDescent="0.3">
      <c r="A57" s="98" t="s">
        <v>20</v>
      </c>
      <c r="B57" s="98">
        <v>0</v>
      </c>
      <c r="C57" s="98">
        <v>0</v>
      </c>
      <c r="D57" s="98">
        <v>0</v>
      </c>
      <c r="E57" s="98">
        <v>0.4</v>
      </c>
      <c r="F57" s="98">
        <v>0.4</v>
      </c>
    </row>
    <row r="58" spans="1:9" s="98" customFormat="1" x14ac:dyDescent="0.3">
      <c r="A58" s="98" t="s">
        <v>26</v>
      </c>
      <c r="B58" s="98">
        <v>0</v>
      </c>
      <c r="C58" s="98">
        <v>0</v>
      </c>
      <c r="D58" s="98">
        <v>0</v>
      </c>
      <c r="E58" s="98">
        <v>0.1</v>
      </c>
      <c r="F58" s="98">
        <v>0.1</v>
      </c>
    </row>
    <row r="59" spans="1:9" s="98" customFormat="1" x14ac:dyDescent="0.3">
      <c r="A59" s="98" t="s">
        <v>22</v>
      </c>
      <c r="B59" s="98">
        <v>0</v>
      </c>
      <c r="C59" s="98">
        <v>0</v>
      </c>
      <c r="D59" s="98">
        <v>0</v>
      </c>
      <c r="E59" s="98">
        <v>0.3</v>
      </c>
      <c r="F59" s="98">
        <v>0.3</v>
      </c>
    </row>
    <row r="60" spans="1:9" s="98" customFormat="1" x14ac:dyDescent="0.3">
      <c r="A60" s="98" t="s">
        <v>24</v>
      </c>
      <c r="B60" s="98">
        <v>0</v>
      </c>
      <c r="C60" s="98">
        <v>0</v>
      </c>
      <c r="D60" s="98">
        <v>0</v>
      </c>
      <c r="E60" s="98">
        <v>0.1</v>
      </c>
      <c r="F60" s="98">
        <v>0.1</v>
      </c>
    </row>
    <row r="61" spans="1:9" s="98" customFormat="1" x14ac:dyDescent="0.3">
      <c r="A61" s="98" t="s">
        <v>18</v>
      </c>
      <c r="B61" s="98">
        <v>0</v>
      </c>
      <c r="C61" s="98">
        <v>0</v>
      </c>
      <c r="D61" s="98">
        <v>0</v>
      </c>
      <c r="E61" s="98">
        <v>0.9</v>
      </c>
      <c r="F61" s="98">
        <v>0.9</v>
      </c>
      <c r="G61" s="98">
        <v>0.7</v>
      </c>
      <c r="H61" s="98">
        <v>0.4</v>
      </c>
      <c r="I61" s="98">
        <v>1.3</v>
      </c>
    </row>
    <row r="62" spans="1:9" s="98" customFormat="1" x14ac:dyDescent="0.3">
      <c r="A62" s="98" t="s">
        <v>21</v>
      </c>
      <c r="B62" s="98">
        <v>0</v>
      </c>
      <c r="C62" s="98">
        <v>0</v>
      </c>
      <c r="D62" s="98">
        <v>0</v>
      </c>
      <c r="E62" s="98">
        <v>0.3</v>
      </c>
      <c r="F62" s="98">
        <v>0.3</v>
      </c>
    </row>
    <row r="63" spans="1:9" s="98" customFormat="1" x14ac:dyDescent="0.3">
      <c r="A63" s="98" t="s">
        <v>19</v>
      </c>
      <c r="B63" s="98">
        <v>0</v>
      </c>
      <c r="C63" s="98">
        <v>0</v>
      </c>
      <c r="D63" s="98">
        <v>0</v>
      </c>
      <c r="E63" s="98">
        <v>0.3</v>
      </c>
      <c r="F63" s="98">
        <v>0.3</v>
      </c>
      <c r="H63" s="98">
        <v>0.4</v>
      </c>
    </row>
    <row r="64" spans="1:9" s="98" customFormat="1" x14ac:dyDescent="0.3"/>
    <row r="65" spans="1:9" s="98" customFormat="1" x14ac:dyDescent="0.3">
      <c r="B65" s="303" t="s">
        <v>782</v>
      </c>
      <c r="C65" s="303"/>
      <c r="D65" s="303"/>
      <c r="E65" s="303"/>
      <c r="F65" s="303"/>
      <c r="G65" s="303"/>
      <c r="H65" s="303"/>
      <c r="I65" s="303"/>
    </row>
    <row r="66" spans="1:9" s="98" customFormat="1" x14ac:dyDescent="0.3">
      <c r="A66" s="100" t="s">
        <v>28</v>
      </c>
      <c r="B66" s="100" t="s">
        <v>776</v>
      </c>
      <c r="C66" s="100" t="s">
        <v>777</v>
      </c>
      <c r="D66" s="100" t="s">
        <v>778</v>
      </c>
      <c r="E66" s="100" t="s">
        <v>255</v>
      </c>
      <c r="F66" s="100" t="s">
        <v>256</v>
      </c>
      <c r="G66" s="100" t="s">
        <v>257</v>
      </c>
      <c r="H66" s="100" t="s">
        <v>779</v>
      </c>
      <c r="I66" s="100" t="s">
        <v>259</v>
      </c>
    </row>
    <row r="67" spans="1:9" s="98" customFormat="1" x14ac:dyDescent="0.3">
      <c r="A67" s="98" t="s">
        <v>23</v>
      </c>
      <c r="B67" s="91">
        <f>1.3*365</f>
        <v>474.5</v>
      </c>
      <c r="C67" s="98">
        <f>0.3*365</f>
        <v>109.5</v>
      </c>
      <c r="D67" s="98">
        <v>0</v>
      </c>
      <c r="E67" s="98">
        <v>0</v>
      </c>
      <c r="F67" s="98">
        <v>0</v>
      </c>
      <c r="G67" s="98">
        <v>0</v>
      </c>
      <c r="H67" s="98">
        <v>0</v>
      </c>
      <c r="I67" s="98">
        <v>0</v>
      </c>
    </row>
    <row r="68" spans="1:9" s="98" customFormat="1" x14ac:dyDescent="0.3">
      <c r="A68" s="98" t="s">
        <v>25</v>
      </c>
      <c r="B68" s="91">
        <f>4.5*365</f>
        <v>1642.5</v>
      </c>
      <c r="C68" s="98">
        <f>1.1*365</f>
        <v>401.50000000000006</v>
      </c>
      <c r="D68" s="98">
        <v>0</v>
      </c>
      <c r="E68" s="98">
        <v>0</v>
      </c>
      <c r="F68" s="98">
        <v>0</v>
      </c>
      <c r="G68" s="98">
        <v>0</v>
      </c>
      <c r="H68" s="98">
        <v>0</v>
      </c>
      <c r="I68" s="98">
        <v>0</v>
      </c>
    </row>
    <row r="69" spans="1:9" s="98" customFormat="1" x14ac:dyDescent="0.3">
      <c r="A69" s="98" t="s">
        <v>20</v>
      </c>
      <c r="B69" s="91">
        <f>7*365</f>
        <v>2555</v>
      </c>
      <c r="C69" s="98">
        <f>3.3*365</f>
        <v>1204.5</v>
      </c>
      <c r="D69" s="98">
        <v>0</v>
      </c>
      <c r="E69" s="98">
        <v>0</v>
      </c>
      <c r="F69" s="98">
        <v>0</v>
      </c>
      <c r="G69" s="98">
        <v>0</v>
      </c>
      <c r="H69" s="98">
        <v>0</v>
      </c>
      <c r="I69" s="98">
        <v>0</v>
      </c>
    </row>
    <row r="70" spans="1:9" s="98" customFormat="1" x14ac:dyDescent="0.3">
      <c r="A70" s="98" t="s">
        <v>26</v>
      </c>
      <c r="B70" s="91">
        <f>2.5*365</f>
        <v>912.5</v>
      </c>
      <c r="C70" s="98">
        <f>0.6*365</f>
        <v>219</v>
      </c>
      <c r="D70" s="98">
        <v>0</v>
      </c>
      <c r="E70" s="98">
        <v>0</v>
      </c>
      <c r="F70" s="98">
        <v>0</v>
      </c>
      <c r="G70" s="98">
        <v>0</v>
      </c>
      <c r="H70" s="98">
        <v>0</v>
      </c>
      <c r="I70" s="98">
        <v>0</v>
      </c>
    </row>
    <row r="71" spans="1:9" s="98" customFormat="1" x14ac:dyDescent="0.3">
      <c r="A71" s="98" t="s">
        <v>22</v>
      </c>
      <c r="B71" s="91">
        <f>2*365</f>
        <v>730</v>
      </c>
      <c r="C71" s="98">
        <f>1.1*365</f>
        <v>401.50000000000006</v>
      </c>
      <c r="D71" s="98">
        <v>0</v>
      </c>
      <c r="E71" s="98">
        <v>0</v>
      </c>
      <c r="F71" s="98">
        <v>0</v>
      </c>
      <c r="G71" s="98">
        <v>0</v>
      </c>
      <c r="H71" s="98">
        <v>0</v>
      </c>
      <c r="I71" s="98">
        <v>0</v>
      </c>
    </row>
    <row r="72" spans="1:9" s="98" customFormat="1" x14ac:dyDescent="0.3">
      <c r="A72" s="98" t="s">
        <v>24</v>
      </c>
      <c r="B72" s="91">
        <f>1.3*365</f>
        <v>474.5</v>
      </c>
      <c r="C72" s="98">
        <f>0.3*365</f>
        <v>109.5</v>
      </c>
      <c r="D72" s="98">
        <v>0</v>
      </c>
      <c r="E72" s="98">
        <v>0</v>
      </c>
      <c r="F72" s="98">
        <v>0</v>
      </c>
      <c r="G72" s="98">
        <v>0</v>
      </c>
      <c r="H72" s="98">
        <v>0</v>
      </c>
      <c r="I72" s="98">
        <v>0</v>
      </c>
    </row>
    <row r="73" spans="1:9" s="98" customFormat="1" x14ac:dyDescent="0.3">
      <c r="A73" s="98" t="s">
        <v>18</v>
      </c>
      <c r="B73" s="91">
        <f>23*365</f>
        <v>8395</v>
      </c>
      <c r="C73" s="91">
        <f>3.3*365</f>
        <v>1204.5</v>
      </c>
      <c r="D73" s="98">
        <v>0</v>
      </c>
      <c r="E73" s="98">
        <v>0</v>
      </c>
      <c r="F73" s="98">
        <v>0</v>
      </c>
      <c r="G73" s="98">
        <v>0</v>
      </c>
      <c r="H73" s="98">
        <v>0</v>
      </c>
      <c r="I73" s="98">
        <v>0</v>
      </c>
    </row>
    <row r="74" spans="1:9" s="98" customFormat="1" x14ac:dyDescent="0.3">
      <c r="A74" s="98" t="s">
        <v>21</v>
      </c>
      <c r="B74" s="91">
        <f>6*365</f>
        <v>2190</v>
      </c>
      <c r="C74" s="98">
        <f>2.4*365</f>
        <v>876</v>
      </c>
      <c r="D74" s="98">
        <v>0</v>
      </c>
      <c r="E74" s="98">
        <v>0</v>
      </c>
      <c r="F74" s="98">
        <v>0</v>
      </c>
      <c r="G74" s="98">
        <v>0</v>
      </c>
      <c r="H74" s="98">
        <v>0</v>
      </c>
      <c r="I74" s="98">
        <v>0</v>
      </c>
    </row>
    <row r="75" spans="1:9" s="98" customFormat="1" x14ac:dyDescent="0.3">
      <c r="A75" s="98" t="s">
        <v>19</v>
      </c>
      <c r="B75" s="91">
        <f>16.4*365</f>
        <v>5985.9999999999991</v>
      </c>
      <c r="C75" s="98">
        <v>0</v>
      </c>
      <c r="D75" s="98">
        <v>0</v>
      </c>
      <c r="E75" s="98">
        <v>0</v>
      </c>
      <c r="F75" s="98">
        <v>0</v>
      </c>
      <c r="G75" s="98">
        <v>0</v>
      </c>
      <c r="H75" s="98">
        <v>0</v>
      </c>
      <c r="I75" s="98">
        <v>0</v>
      </c>
    </row>
    <row r="76" spans="1:9" s="98" customFormat="1" x14ac:dyDescent="0.3"/>
    <row r="77" spans="1:9" s="98" customFormat="1" x14ac:dyDescent="0.3">
      <c r="B77" s="303" t="s">
        <v>783</v>
      </c>
      <c r="C77" s="303"/>
      <c r="D77" s="303"/>
      <c r="E77" s="303"/>
      <c r="F77" s="303"/>
      <c r="G77" s="303"/>
      <c r="H77" s="303"/>
      <c r="I77" s="303"/>
    </row>
    <row r="78" spans="1:9" s="98" customFormat="1" x14ac:dyDescent="0.3">
      <c r="A78" s="100" t="s">
        <v>28</v>
      </c>
      <c r="B78" s="100" t="s">
        <v>776</v>
      </c>
      <c r="C78" s="100" t="s">
        <v>777</v>
      </c>
      <c r="D78" s="100" t="s">
        <v>778</v>
      </c>
      <c r="E78" s="100" t="s">
        <v>255</v>
      </c>
      <c r="F78" s="100" t="s">
        <v>256</v>
      </c>
      <c r="G78" s="100" t="s">
        <v>257</v>
      </c>
      <c r="H78" s="100" t="s">
        <v>779</v>
      </c>
      <c r="I78" s="100" t="s">
        <v>259</v>
      </c>
    </row>
    <row r="79" spans="1:9" s="98" customFormat="1" x14ac:dyDescent="0.3">
      <c r="A79" s="98" t="s">
        <v>23</v>
      </c>
      <c r="B79" s="98">
        <v>67</v>
      </c>
      <c r="C79" s="98">
        <v>33</v>
      </c>
      <c r="D79" s="98">
        <v>0</v>
      </c>
      <c r="E79" s="98">
        <v>0</v>
      </c>
      <c r="F79" s="98">
        <v>0</v>
      </c>
      <c r="G79" s="98">
        <v>0</v>
      </c>
      <c r="H79" s="98">
        <v>0</v>
      </c>
      <c r="I79" s="98">
        <v>0</v>
      </c>
    </row>
    <row r="80" spans="1:9" s="98" customFormat="1" x14ac:dyDescent="0.3">
      <c r="A80" s="98" t="s">
        <v>25</v>
      </c>
      <c r="B80" s="98">
        <v>80</v>
      </c>
      <c r="C80" s="98">
        <f>AVERAGE(33,50)</f>
        <v>41.5</v>
      </c>
      <c r="D80" s="98">
        <v>0</v>
      </c>
      <c r="E80" s="98">
        <v>0</v>
      </c>
      <c r="F80" s="98">
        <v>0</v>
      </c>
      <c r="G80" s="98">
        <v>0</v>
      </c>
      <c r="H80" s="98">
        <v>0</v>
      </c>
      <c r="I80" s="98">
        <v>0</v>
      </c>
    </row>
    <row r="81" spans="1:28" s="98" customFormat="1" x14ac:dyDescent="0.3">
      <c r="A81" s="98" t="s">
        <v>20</v>
      </c>
      <c r="B81" s="98">
        <v>80</v>
      </c>
      <c r="C81" s="98">
        <v>67</v>
      </c>
      <c r="D81" s="98">
        <v>0</v>
      </c>
      <c r="E81" s="98">
        <v>0</v>
      </c>
      <c r="F81" s="98">
        <v>0</v>
      </c>
      <c r="G81" s="98">
        <v>0</v>
      </c>
      <c r="H81" s="98">
        <v>0</v>
      </c>
      <c r="I81" s="98">
        <v>0</v>
      </c>
    </row>
    <row r="82" spans="1:28" s="98" customFormat="1" x14ac:dyDescent="0.3">
      <c r="A82" s="98" t="s">
        <v>26</v>
      </c>
      <c r="B82" s="98">
        <v>50</v>
      </c>
      <c r="C82" s="98">
        <v>33</v>
      </c>
      <c r="D82" s="98">
        <v>0</v>
      </c>
      <c r="E82" s="98">
        <v>0</v>
      </c>
      <c r="F82" s="98">
        <v>0</v>
      </c>
      <c r="G82" s="98">
        <v>0</v>
      </c>
      <c r="H82" s="98">
        <v>0</v>
      </c>
      <c r="I82" s="98">
        <v>0</v>
      </c>
    </row>
    <row r="83" spans="1:28" s="98" customFormat="1" x14ac:dyDescent="0.3">
      <c r="A83" s="98" t="s">
        <v>22</v>
      </c>
      <c r="B83" s="98">
        <v>80</v>
      </c>
      <c r="C83" s="98">
        <v>67</v>
      </c>
      <c r="D83" s="98">
        <v>0</v>
      </c>
      <c r="E83" s="98">
        <v>0</v>
      </c>
      <c r="F83" s="98">
        <v>0</v>
      </c>
      <c r="G83" s="98">
        <v>0</v>
      </c>
      <c r="H83" s="98">
        <v>0</v>
      </c>
      <c r="I83" s="98">
        <v>0</v>
      </c>
    </row>
    <row r="84" spans="1:28" s="98" customFormat="1" x14ac:dyDescent="0.3">
      <c r="A84" s="98" t="s">
        <v>24</v>
      </c>
      <c r="B84" s="98">
        <v>67</v>
      </c>
      <c r="C84" s="98">
        <v>33</v>
      </c>
      <c r="D84" s="98">
        <v>0</v>
      </c>
      <c r="E84" s="98">
        <v>0</v>
      </c>
      <c r="F84" s="98">
        <v>0</v>
      </c>
      <c r="G84" s="98">
        <v>0</v>
      </c>
      <c r="H84" s="98">
        <v>0</v>
      </c>
      <c r="I84" s="98">
        <v>0</v>
      </c>
    </row>
    <row r="85" spans="1:28" s="98" customFormat="1" x14ac:dyDescent="0.3">
      <c r="A85" s="98" t="s">
        <v>18</v>
      </c>
      <c r="B85" s="98">
        <v>90</v>
      </c>
      <c r="C85" s="98">
        <v>80</v>
      </c>
      <c r="D85" s="98">
        <v>0</v>
      </c>
      <c r="E85" s="98">
        <v>0</v>
      </c>
      <c r="F85" s="98">
        <v>0</v>
      </c>
      <c r="G85" s="98">
        <v>0</v>
      </c>
      <c r="H85" s="98">
        <v>0</v>
      </c>
      <c r="I85" s="98">
        <v>0</v>
      </c>
    </row>
    <row r="86" spans="1:28" s="98" customFormat="1" x14ac:dyDescent="0.3">
      <c r="A86" s="98" t="s">
        <v>21</v>
      </c>
      <c r="B86" s="98">
        <v>80</v>
      </c>
      <c r="C86" s="98">
        <v>67</v>
      </c>
      <c r="D86" s="98">
        <v>0</v>
      </c>
      <c r="E86" s="98">
        <v>0</v>
      </c>
      <c r="F86" s="98">
        <v>0</v>
      </c>
      <c r="G86" s="98">
        <v>0</v>
      </c>
      <c r="H86" s="98">
        <v>0</v>
      </c>
      <c r="I86" s="98">
        <v>0</v>
      </c>
    </row>
    <row r="87" spans="1:28" s="98" customFormat="1" x14ac:dyDescent="0.3">
      <c r="A87" s="98" t="s">
        <v>19</v>
      </c>
      <c r="B87" s="98">
        <v>90</v>
      </c>
      <c r="C87" s="98">
        <v>67</v>
      </c>
      <c r="D87" s="98">
        <v>0</v>
      </c>
      <c r="E87" s="98">
        <v>0</v>
      </c>
      <c r="F87" s="98">
        <v>0</v>
      </c>
      <c r="G87" s="98">
        <v>0</v>
      </c>
      <c r="H87" s="98">
        <v>0</v>
      </c>
      <c r="I87" s="98">
        <v>0</v>
      </c>
    </row>
    <row r="88" spans="1:28" ht="45" customHeight="1" x14ac:dyDescent="0.3">
      <c r="A88" s="98"/>
      <c r="B88" s="303" t="s">
        <v>924</v>
      </c>
      <c r="C88" s="303"/>
      <c r="D88" s="303"/>
      <c r="E88" s="303"/>
      <c r="F88" s="303"/>
      <c r="G88" s="303"/>
      <c r="H88" s="303"/>
      <c r="I88" s="303"/>
      <c r="L88" s="307" t="s">
        <v>1133</v>
      </c>
      <c r="M88" s="307"/>
      <c r="N88" s="307"/>
      <c r="O88" s="307"/>
      <c r="P88" s="307"/>
      <c r="Q88" s="307"/>
      <c r="R88" s="307"/>
      <c r="S88" s="307"/>
      <c r="U88" s="307" t="s">
        <v>1133</v>
      </c>
      <c r="V88" s="307"/>
      <c r="W88" s="307"/>
      <c r="X88" s="307"/>
      <c r="Y88" s="307"/>
      <c r="Z88" s="307"/>
      <c r="AA88" s="307"/>
      <c r="AB88" s="307"/>
    </row>
    <row r="89" spans="1:28" ht="43.2" x14ac:dyDescent="0.3">
      <c r="A89" s="100" t="s">
        <v>930</v>
      </c>
      <c r="B89" s="100" t="s">
        <v>1043</v>
      </c>
      <c r="C89" s="100" t="s">
        <v>931</v>
      </c>
      <c r="D89" s="100" t="s">
        <v>225</v>
      </c>
      <c r="E89" s="100" t="s">
        <v>925</v>
      </c>
      <c r="F89" s="100" t="s">
        <v>926</v>
      </c>
      <c r="G89" s="100"/>
      <c r="H89" s="100"/>
      <c r="I89" s="100"/>
      <c r="K89" s="100" t="s">
        <v>937</v>
      </c>
      <c r="L89" s="110" t="s">
        <v>221</v>
      </c>
      <c r="M89" s="108" t="s">
        <v>253</v>
      </c>
      <c r="N89" s="108" t="s">
        <v>254</v>
      </c>
      <c r="O89" s="108" t="s">
        <v>255</v>
      </c>
      <c r="P89" s="112" t="s">
        <v>256</v>
      </c>
      <c r="Q89" s="112" t="s">
        <v>257</v>
      </c>
      <c r="R89" s="112" t="s">
        <v>258</v>
      </c>
      <c r="S89" s="112" t="s">
        <v>259</v>
      </c>
      <c r="T89" s="107"/>
      <c r="U89" s="110" t="s">
        <v>221</v>
      </c>
      <c r="V89" s="108" t="s">
        <v>253</v>
      </c>
      <c r="W89" s="108" t="s">
        <v>254</v>
      </c>
      <c r="X89" s="108" t="s">
        <v>255</v>
      </c>
      <c r="Y89" s="112" t="s">
        <v>256</v>
      </c>
      <c r="Z89" s="112" t="s">
        <v>257</v>
      </c>
      <c r="AA89" s="112" t="s">
        <v>258</v>
      </c>
      <c r="AB89" s="112" t="s">
        <v>259</v>
      </c>
    </row>
    <row r="90" spans="1:28" x14ac:dyDescent="0.3">
      <c r="A90" s="98" t="s">
        <v>938</v>
      </c>
      <c r="B90" s="98" t="s">
        <v>1044</v>
      </c>
      <c r="C90" s="98" t="s">
        <v>934</v>
      </c>
      <c r="D90" s="98">
        <v>80</v>
      </c>
      <c r="E90" s="98">
        <v>41.6</v>
      </c>
      <c r="F90" s="98">
        <v>2.5</v>
      </c>
      <c r="G90" s="98"/>
      <c r="H90" s="98"/>
      <c r="I90" s="98"/>
      <c r="K90" s="98" t="str">
        <f>ENTERIC!A30</f>
        <v>Corn, distiller's grains w/ solubles, dried</v>
      </c>
      <c r="L90" s="184">
        <f>ENTERIC!C30</f>
        <v>50</v>
      </c>
      <c r="M90" s="184">
        <f>ENTERIC!D30</f>
        <v>50</v>
      </c>
      <c r="N90" s="184">
        <f>ENTERIC!E30</f>
        <v>100</v>
      </c>
      <c r="O90" s="184">
        <f>ENTERIC!F30</f>
        <v>0</v>
      </c>
      <c r="P90" s="184">
        <f>ENTERIC!G30</f>
        <v>0</v>
      </c>
      <c r="Q90" s="184">
        <f>ENTERIC!H30</f>
        <v>100</v>
      </c>
      <c r="R90" s="184">
        <f>ENTERIC!I30</f>
        <v>100</v>
      </c>
      <c r="S90" s="184">
        <f>ENTERIC!J30</f>
        <v>100</v>
      </c>
      <c r="T90" s="107"/>
      <c r="U90" s="236">
        <f>ENTERIC!L30</f>
        <v>50</v>
      </c>
      <c r="V90" s="236">
        <f>ENTERIC!M30</f>
        <v>50</v>
      </c>
      <c r="W90" s="236">
        <f>ENTERIC!N30</f>
        <v>100</v>
      </c>
      <c r="X90" s="236">
        <f>ENTERIC!O30</f>
        <v>0</v>
      </c>
      <c r="Y90" s="236">
        <f>ENTERIC!P30</f>
        <v>0</v>
      </c>
      <c r="Z90" s="236">
        <f>ENTERIC!Q30</f>
        <v>100</v>
      </c>
      <c r="AA90" s="236">
        <f>ENTERIC!R30</f>
        <v>100</v>
      </c>
      <c r="AB90" s="236">
        <f>ENTERIC!S30</f>
        <v>100</v>
      </c>
    </row>
    <row r="91" spans="1:28" x14ac:dyDescent="0.3">
      <c r="A91" s="98" t="s">
        <v>939</v>
      </c>
      <c r="B91" s="98" t="s">
        <v>1045</v>
      </c>
      <c r="C91" s="98" t="s">
        <v>934</v>
      </c>
      <c r="D91" s="98">
        <v>50</v>
      </c>
      <c r="E91" s="98">
        <v>36.799999999999997</v>
      </c>
      <c r="F91" s="98">
        <v>2.9</v>
      </c>
      <c r="G91" s="98"/>
      <c r="H91" s="98"/>
      <c r="I91" s="98"/>
      <c r="K91" s="98" t="str">
        <f>ENTERIC!A31</f>
        <v>Grasses, intensively managed pasture</v>
      </c>
      <c r="L91" s="184">
        <f>ENTERIC!C31</f>
        <v>50</v>
      </c>
      <c r="M91" s="184">
        <f>ENTERIC!D31</f>
        <v>50</v>
      </c>
      <c r="N91" s="184">
        <f>ENTERIC!E31</f>
        <v>0</v>
      </c>
      <c r="O91" s="184">
        <f>ENTERIC!F31</f>
        <v>0</v>
      </c>
      <c r="P91" s="184">
        <f>ENTERIC!G31</f>
        <v>100</v>
      </c>
      <c r="Q91" s="184">
        <f>ENTERIC!H31</f>
        <v>0</v>
      </c>
      <c r="R91" s="184">
        <f>ENTERIC!I31</f>
        <v>0</v>
      </c>
      <c r="S91" s="184">
        <f>ENTERIC!J31</f>
        <v>0</v>
      </c>
      <c r="T91" s="107"/>
      <c r="U91" s="236">
        <f>ENTERIC!L31</f>
        <v>50</v>
      </c>
      <c r="V91" s="236">
        <f>ENTERIC!M31</f>
        <v>50</v>
      </c>
      <c r="W91" s="236">
        <f>ENTERIC!N31</f>
        <v>0</v>
      </c>
      <c r="X91" s="236">
        <f>ENTERIC!O31</f>
        <v>0</v>
      </c>
      <c r="Y91" s="236">
        <f>ENTERIC!P31</f>
        <v>100</v>
      </c>
      <c r="Z91" s="236">
        <f>ENTERIC!Q31</f>
        <v>0</v>
      </c>
      <c r="AA91" s="236">
        <f>ENTERIC!R31</f>
        <v>0</v>
      </c>
      <c r="AB91" s="236">
        <f>ENTERIC!S31</f>
        <v>0</v>
      </c>
    </row>
    <row r="92" spans="1:28" x14ac:dyDescent="0.3">
      <c r="A92" s="98" t="s">
        <v>940</v>
      </c>
      <c r="B92" s="98" t="s">
        <v>1046</v>
      </c>
      <c r="C92" s="98" t="s">
        <v>934</v>
      </c>
      <c r="D92" s="98">
        <v>50</v>
      </c>
      <c r="E92" s="98">
        <v>52.5</v>
      </c>
      <c r="F92" s="98">
        <v>5</v>
      </c>
      <c r="G92" s="98"/>
      <c r="H92" s="98"/>
      <c r="I92" s="98"/>
      <c r="K92" s="98">
        <f>ENTERIC!A32</f>
        <v>0</v>
      </c>
      <c r="L92" s="184">
        <f>ENTERIC!C32</f>
        <v>0</v>
      </c>
      <c r="M92" s="184">
        <f>ENTERIC!D32</f>
        <v>0</v>
      </c>
      <c r="N92" s="184">
        <f>ENTERIC!E32</f>
        <v>0</v>
      </c>
      <c r="O92" s="184">
        <f>ENTERIC!F32</f>
        <v>0</v>
      </c>
      <c r="P92" s="184">
        <f>ENTERIC!G32</f>
        <v>0</v>
      </c>
      <c r="Q92" s="184">
        <f>ENTERIC!H32</f>
        <v>0</v>
      </c>
      <c r="R92" s="184">
        <f>ENTERIC!I32</f>
        <v>0</v>
      </c>
      <c r="S92" s="184">
        <f>ENTERIC!J32</f>
        <v>0</v>
      </c>
      <c r="T92" s="107"/>
      <c r="U92" s="236">
        <f>ENTERIC!L32</f>
        <v>0</v>
      </c>
      <c r="V92" s="236">
        <f>ENTERIC!M32</f>
        <v>0</v>
      </c>
      <c r="W92" s="236">
        <f>ENTERIC!N32</f>
        <v>0</v>
      </c>
      <c r="X92" s="236">
        <f>ENTERIC!O32</f>
        <v>0</v>
      </c>
      <c r="Y92" s="236">
        <f>ENTERIC!P32</f>
        <v>0</v>
      </c>
      <c r="Z92" s="236">
        <f>ENTERIC!Q32</f>
        <v>0</v>
      </c>
      <c r="AA92" s="236">
        <f>ENTERIC!R32</f>
        <v>0</v>
      </c>
      <c r="AB92" s="236">
        <f>ENTERIC!S32</f>
        <v>0</v>
      </c>
    </row>
    <row r="93" spans="1:28" x14ac:dyDescent="0.3">
      <c r="A93" s="98" t="s">
        <v>941</v>
      </c>
      <c r="B93" s="98" t="s">
        <v>1047</v>
      </c>
      <c r="C93" s="98" t="s">
        <v>934</v>
      </c>
      <c r="D93" s="98">
        <v>50</v>
      </c>
      <c r="E93" s="98">
        <v>13.9</v>
      </c>
      <c r="F93" s="98">
        <v>9.5</v>
      </c>
      <c r="G93" s="98"/>
      <c r="H93" s="98"/>
      <c r="I93" s="98"/>
      <c r="K93" s="98">
        <f>ENTERIC!A33</f>
        <v>0</v>
      </c>
      <c r="L93" s="184">
        <f>ENTERIC!C33</f>
        <v>0</v>
      </c>
      <c r="M93" s="184">
        <f>ENTERIC!D33</f>
        <v>0</v>
      </c>
      <c r="N93" s="184">
        <f>ENTERIC!E33</f>
        <v>0</v>
      </c>
      <c r="O93" s="184">
        <f>ENTERIC!F33</f>
        <v>0</v>
      </c>
      <c r="P93" s="184">
        <f>ENTERIC!G33</f>
        <v>0</v>
      </c>
      <c r="Q93" s="184">
        <f>ENTERIC!H33</f>
        <v>0</v>
      </c>
      <c r="R93" s="184">
        <f>ENTERIC!I33</f>
        <v>0</v>
      </c>
      <c r="S93" s="184">
        <f>ENTERIC!J33</f>
        <v>0</v>
      </c>
      <c r="T93" s="107"/>
      <c r="U93" s="236">
        <f>ENTERIC!L33</f>
        <v>0</v>
      </c>
      <c r="V93" s="236">
        <f>ENTERIC!M33</f>
        <v>0</v>
      </c>
      <c r="W93" s="236">
        <f>ENTERIC!N33</f>
        <v>0</v>
      </c>
      <c r="X93" s="236">
        <f>ENTERIC!O33</f>
        <v>0</v>
      </c>
      <c r="Y93" s="236">
        <f>ENTERIC!P33</f>
        <v>0</v>
      </c>
      <c r="Z93" s="236">
        <f>ENTERIC!Q33</f>
        <v>0</v>
      </c>
      <c r="AA93" s="236">
        <f>ENTERIC!R33</f>
        <v>0</v>
      </c>
      <c r="AB93" s="236">
        <f>ENTERIC!S33</f>
        <v>0</v>
      </c>
    </row>
    <row r="94" spans="1:28" x14ac:dyDescent="0.3">
      <c r="A94" s="98" t="s">
        <v>942</v>
      </c>
      <c r="B94" s="98" t="s">
        <v>1047</v>
      </c>
      <c r="C94" s="98" t="s">
        <v>934</v>
      </c>
      <c r="D94" s="98">
        <v>50</v>
      </c>
      <c r="E94" s="98">
        <v>8.9</v>
      </c>
      <c r="F94" s="98">
        <v>2.2000000000000002</v>
      </c>
      <c r="G94" s="98"/>
      <c r="H94" s="98"/>
      <c r="I94" s="98"/>
      <c r="K94" s="98">
        <f>ENTERIC!A34</f>
        <v>0</v>
      </c>
      <c r="L94" s="184">
        <f>ENTERIC!C34</f>
        <v>0</v>
      </c>
      <c r="M94" s="184">
        <f>ENTERIC!D34</f>
        <v>0</v>
      </c>
      <c r="N94" s="184">
        <f>ENTERIC!E34</f>
        <v>0</v>
      </c>
      <c r="O94" s="184">
        <f>ENTERIC!F34</f>
        <v>0</v>
      </c>
      <c r="P94" s="184">
        <f>ENTERIC!G34</f>
        <v>0</v>
      </c>
      <c r="Q94" s="184">
        <f>ENTERIC!H34</f>
        <v>0</v>
      </c>
      <c r="R94" s="184">
        <f>ENTERIC!I34</f>
        <v>0</v>
      </c>
      <c r="S94" s="184">
        <f>ENTERIC!J34</f>
        <v>0</v>
      </c>
      <c r="T94" s="107"/>
      <c r="U94" s="236">
        <f>ENTERIC!L34</f>
        <v>0</v>
      </c>
      <c r="V94" s="236">
        <f>ENTERIC!M34</f>
        <v>0</v>
      </c>
      <c r="W94" s="236">
        <f>ENTERIC!N34</f>
        <v>0</v>
      </c>
      <c r="X94" s="236">
        <f>ENTERIC!O34</f>
        <v>0</v>
      </c>
      <c r="Y94" s="236">
        <f>ENTERIC!P34</f>
        <v>0</v>
      </c>
      <c r="Z94" s="236">
        <f>ENTERIC!Q34</f>
        <v>0</v>
      </c>
      <c r="AA94" s="236">
        <f>ENTERIC!R34</f>
        <v>0</v>
      </c>
      <c r="AB94" s="236">
        <f>ENTERIC!S34</f>
        <v>0</v>
      </c>
    </row>
    <row r="95" spans="1:28" x14ac:dyDescent="0.3">
      <c r="A95" s="98" t="s">
        <v>943</v>
      </c>
      <c r="B95" s="98" t="s">
        <v>1047</v>
      </c>
      <c r="C95" s="98" t="s">
        <v>934</v>
      </c>
      <c r="D95" s="98">
        <v>50</v>
      </c>
      <c r="E95" s="98">
        <v>10</v>
      </c>
      <c r="F95" s="98">
        <v>3.5</v>
      </c>
      <c r="G95" s="98"/>
      <c r="H95" s="98"/>
      <c r="I95" s="98"/>
      <c r="K95" s="98">
        <f>ENTERIC!A35</f>
        <v>0</v>
      </c>
      <c r="L95" s="184">
        <f>ENTERIC!C35</f>
        <v>0</v>
      </c>
      <c r="M95" s="184">
        <f>ENTERIC!D35</f>
        <v>0</v>
      </c>
      <c r="N95" s="184">
        <f>ENTERIC!E35</f>
        <v>0</v>
      </c>
      <c r="O95" s="184">
        <f>ENTERIC!F35</f>
        <v>0</v>
      </c>
      <c r="P95" s="184">
        <f>ENTERIC!G35</f>
        <v>0</v>
      </c>
      <c r="Q95" s="184">
        <f>ENTERIC!H35</f>
        <v>0</v>
      </c>
      <c r="R95" s="184">
        <f>ENTERIC!I35</f>
        <v>0</v>
      </c>
      <c r="S95" s="184">
        <f>ENTERIC!J35</f>
        <v>0</v>
      </c>
      <c r="T95" s="107"/>
      <c r="U95" s="236">
        <f>ENTERIC!L35</f>
        <v>0</v>
      </c>
      <c r="V95" s="236">
        <f>ENTERIC!M35</f>
        <v>0</v>
      </c>
      <c r="W95" s="236">
        <f>ENTERIC!N35</f>
        <v>0</v>
      </c>
      <c r="X95" s="236">
        <f>ENTERIC!O35</f>
        <v>0</v>
      </c>
      <c r="Y95" s="236">
        <f>ENTERIC!P35</f>
        <v>0</v>
      </c>
      <c r="Z95" s="236">
        <f>ENTERIC!Q35</f>
        <v>0</v>
      </c>
      <c r="AA95" s="236">
        <f>ENTERIC!R35</f>
        <v>0</v>
      </c>
      <c r="AB95" s="236">
        <f>ENTERIC!S35</f>
        <v>0</v>
      </c>
    </row>
    <row r="96" spans="1:28" x14ac:dyDescent="0.3">
      <c r="A96" s="98" t="s">
        <v>944</v>
      </c>
      <c r="B96" s="98" t="s">
        <v>1047</v>
      </c>
      <c r="C96" s="98" t="s">
        <v>934</v>
      </c>
      <c r="D96" s="98">
        <v>50</v>
      </c>
      <c r="E96" s="98">
        <v>12.7</v>
      </c>
      <c r="F96" s="98">
        <v>10.6</v>
      </c>
      <c r="G96" s="98"/>
      <c r="H96" s="98"/>
      <c r="I96" s="98"/>
      <c r="K96" s="98">
        <f>ENTERIC!A36</f>
        <v>0</v>
      </c>
      <c r="L96" s="184">
        <f>ENTERIC!C36</f>
        <v>0</v>
      </c>
      <c r="M96" s="184">
        <f>ENTERIC!D36</f>
        <v>0</v>
      </c>
      <c r="N96" s="184">
        <f>ENTERIC!E36</f>
        <v>0</v>
      </c>
      <c r="O96" s="184">
        <f>ENTERIC!F36</f>
        <v>0</v>
      </c>
      <c r="P96" s="184">
        <f>ENTERIC!G36</f>
        <v>0</v>
      </c>
      <c r="Q96" s="184">
        <f>ENTERIC!H36</f>
        <v>0</v>
      </c>
      <c r="R96" s="184">
        <f>ENTERIC!I36</f>
        <v>0</v>
      </c>
      <c r="S96" s="184">
        <f>ENTERIC!J36</f>
        <v>0</v>
      </c>
      <c r="T96" s="107"/>
      <c r="U96" s="236">
        <f>ENTERIC!L36</f>
        <v>0</v>
      </c>
      <c r="V96" s="236">
        <f>ENTERIC!M36</f>
        <v>0</v>
      </c>
      <c r="W96" s="236">
        <f>ENTERIC!N36</f>
        <v>0</v>
      </c>
      <c r="X96" s="236">
        <f>ENTERIC!O36</f>
        <v>0</v>
      </c>
      <c r="Y96" s="236">
        <f>ENTERIC!P36</f>
        <v>0</v>
      </c>
      <c r="Z96" s="236">
        <f>ENTERIC!Q36</f>
        <v>0</v>
      </c>
      <c r="AA96" s="236">
        <f>ENTERIC!R36</f>
        <v>0</v>
      </c>
      <c r="AB96" s="236">
        <f>ENTERIC!S36</f>
        <v>0</v>
      </c>
    </row>
    <row r="97" spans="1:28" x14ac:dyDescent="0.3">
      <c r="A97" s="98" t="s">
        <v>945</v>
      </c>
      <c r="B97" s="98" t="s">
        <v>1048</v>
      </c>
      <c r="C97" s="98" t="s">
        <v>934</v>
      </c>
      <c r="D97" s="98">
        <v>80</v>
      </c>
      <c r="E97" s="98">
        <v>208.8</v>
      </c>
      <c r="F97" s="98">
        <v>2.2000000000000002</v>
      </c>
      <c r="G97" s="98"/>
      <c r="H97" s="98"/>
      <c r="I97" s="98"/>
    </row>
    <row r="98" spans="1:28" x14ac:dyDescent="0.3">
      <c r="A98" s="98" t="s">
        <v>946</v>
      </c>
      <c r="B98" s="98" t="s">
        <v>1049</v>
      </c>
      <c r="C98" s="98" t="s">
        <v>934</v>
      </c>
      <c r="D98" s="98">
        <v>80</v>
      </c>
      <c r="E98" s="98">
        <v>47</v>
      </c>
      <c r="F98" s="98">
        <v>2.2999999999999998</v>
      </c>
      <c r="G98" s="98"/>
      <c r="H98" s="98"/>
      <c r="I98" s="98"/>
      <c r="L98" s="306" t="s">
        <v>225</v>
      </c>
      <c r="M98" s="306"/>
      <c r="N98" s="306"/>
      <c r="O98" s="306"/>
      <c r="P98" s="306"/>
      <c r="Q98" s="306"/>
      <c r="R98" s="306"/>
      <c r="S98" s="306"/>
      <c r="U98" s="306" t="s">
        <v>225</v>
      </c>
      <c r="V98" s="306"/>
      <c r="W98" s="306"/>
      <c r="X98" s="306"/>
      <c r="Y98" s="306"/>
      <c r="Z98" s="306"/>
      <c r="AA98" s="306"/>
      <c r="AB98" s="306"/>
    </row>
    <row r="99" spans="1:28" ht="43.2" x14ac:dyDescent="0.3">
      <c r="A99" s="98" t="s">
        <v>947</v>
      </c>
      <c r="B99" s="98" t="s">
        <v>1050</v>
      </c>
      <c r="C99" s="98" t="s">
        <v>934</v>
      </c>
      <c r="D99" s="98">
        <v>80</v>
      </c>
      <c r="E99" s="98">
        <v>56.3</v>
      </c>
      <c r="F99" s="98">
        <v>3.5</v>
      </c>
      <c r="G99" s="98"/>
      <c r="H99" s="98"/>
      <c r="I99" s="98"/>
      <c r="K99" s="100" t="s">
        <v>937</v>
      </c>
      <c r="L99" s="110" t="s">
        <v>221</v>
      </c>
      <c r="M99" s="108" t="s">
        <v>253</v>
      </c>
      <c r="N99" s="108" t="s">
        <v>254</v>
      </c>
      <c r="O99" s="108" t="s">
        <v>255</v>
      </c>
      <c r="P99" s="112" t="s">
        <v>256</v>
      </c>
      <c r="Q99" s="112" t="s">
        <v>257</v>
      </c>
      <c r="R99" s="112" t="s">
        <v>258</v>
      </c>
      <c r="S99" s="112" t="s">
        <v>259</v>
      </c>
      <c r="T99" s="107"/>
      <c r="U99" s="119" t="s">
        <v>221</v>
      </c>
      <c r="V99" s="108" t="s">
        <v>253</v>
      </c>
      <c r="W99" s="108" t="s">
        <v>254</v>
      </c>
      <c r="X99" s="108" t="s">
        <v>255</v>
      </c>
      <c r="Y99" s="112" t="s">
        <v>256</v>
      </c>
      <c r="Z99" s="112" t="s">
        <v>257</v>
      </c>
      <c r="AA99" s="112" t="s">
        <v>258</v>
      </c>
      <c r="AB99" s="112" t="s">
        <v>259</v>
      </c>
    </row>
    <row r="100" spans="1:28" x14ac:dyDescent="0.3">
      <c r="A100" s="98" t="s">
        <v>948</v>
      </c>
      <c r="B100" s="98" t="s">
        <v>1051</v>
      </c>
      <c r="C100" s="98" t="s">
        <v>934</v>
      </c>
      <c r="D100" s="98">
        <v>50</v>
      </c>
      <c r="E100" s="98">
        <v>45.8</v>
      </c>
      <c r="F100" s="98">
        <v>1.1000000000000001</v>
      </c>
      <c r="G100" s="98"/>
      <c r="H100" s="98"/>
      <c r="I100" s="98"/>
      <c r="K100" t="str">
        <f>ENTERIC!A30</f>
        <v>Corn, distiller's grains w/ solubles, dried</v>
      </c>
      <c r="L100">
        <f>IF($K100=0,0,LOOKUP($K100,$A$90:$A$195,$D$90:$D$195))</f>
        <v>80</v>
      </c>
      <c r="M100" s="98">
        <f t="shared" ref="M100:S106" si="23">IF($K100=0,0,LOOKUP($K100,$A$90:$A$195,$D$90:$D$195))</f>
        <v>80</v>
      </c>
      <c r="N100" s="98">
        <f t="shared" si="23"/>
        <v>80</v>
      </c>
      <c r="O100" s="98">
        <f t="shared" si="23"/>
        <v>80</v>
      </c>
      <c r="P100" s="98">
        <f t="shared" si="23"/>
        <v>80</v>
      </c>
      <c r="Q100" s="98">
        <f t="shared" si="23"/>
        <v>80</v>
      </c>
      <c r="R100" s="98">
        <f t="shared" si="23"/>
        <v>80</v>
      </c>
      <c r="S100" s="98">
        <f t="shared" si="23"/>
        <v>80</v>
      </c>
      <c r="U100" s="98">
        <f>IF($K100=0,0,LOOKUP($K100,$A$90:$A$195,$D$90:$D$195))</f>
        <v>80</v>
      </c>
      <c r="V100" s="98">
        <f t="shared" ref="V100:AB106" si="24">IF($K100=0,0,LOOKUP($K100,$A$90:$A$195,$D$90:$D$195))</f>
        <v>80</v>
      </c>
      <c r="W100" s="98">
        <f t="shared" si="24"/>
        <v>80</v>
      </c>
      <c r="X100" s="98">
        <f t="shared" si="24"/>
        <v>80</v>
      </c>
      <c r="Y100" s="98">
        <f t="shared" si="24"/>
        <v>80</v>
      </c>
      <c r="Z100" s="98">
        <f t="shared" si="24"/>
        <v>80</v>
      </c>
      <c r="AA100" s="98">
        <f t="shared" si="24"/>
        <v>80</v>
      </c>
      <c r="AB100" s="98">
        <f t="shared" si="24"/>
        <v>80</v>
      </c>
    </row>
    <row r="101" spans="1:28" x14ac:dyDescent="0.3">
      <c r="A101" s="98" t="s">
        <v>949</v>
      </c>
      <c r="B101" s="98" t="s">
        <v>1052</v>
      </c>
      <c r="C101" s="98" t="s">
        <v>932</v>
      </c>
      <c r="D101" s="98">
        <v>50</v>
      </c>
      <c r="E101" s="98">
        <v>73.3</v>
      </c>
      <c r="F101" s="98">
        <v>2.7</v>
      </c>
      <c r="G101" s="98"/>
      <c r="H101" s="98"/>
      <c r="I101" s="98"/>
      <c r="K101" t="str">
        <f>ENTERIC!A31</f>
        <v>Grasses, intensively managed pasture</v>
      </c>
      <c r="L101" s="98">
        <f t="shared" ref="L101:L106" si="25">IF($K101=0,0,LOOKUP($K101,$A$90:$A$195,$D$90:$D$195))</f>
        <v>65</v>
      </c>
      <c r="M101" s="98">
        <f t="shared" si="23"/>
        <v>65</v>
      </c>
      <c r="N101" s="98">
        <f t="shared" si="23"/>
        <v>65</v>
      </c>
      <c r="O101" s="98">
        <f t="shared" si="23"/>
        <v>65</v>
      </c>
      <c r="P101" s="98">
        <f t="shared" si="23"/>
        <v>65</v>
      </c>
      <c r="Q101" s="98">
        <f t="shared" si="23"/>
        <v>65</v>
      </c>
      <c r="R101" s="98">
        <f t="shared" si="23"/>
        <v>65</v>
      </c>
      <c r="S101" s="98">
        <f t="shared" si="23"/>
        <v>65</v>
      </c>
      <c r="U101" s="98">
        <f t="shared" ref="U101:U106" si="26">IF($K101=0,0,LOOKUP($K101,$A$90:$A$195,$D$90:$D$195))</f>
        <v>65</v>
      </c>
      <c r="V101" s="98">
        <f t="shared" si="24"/>
        <v>65</v>
      </c>
      <c r="W101" s="98">
        <f t="shared" si="24"/>
        <v>65</v>
      </c>
      <c r="X101" s="98">
        <f t="shared" si="24"/>
        <v>65</v>
      </c>
      <c r="Y101" s="98">
        <f t="shared" si="24"/>
        <v>65</v>
      </c>
      <c r="Z101" s="98">
        <f t="shared" si="24"/>
        <v>65</v>
      </c>
      <c r="AA101" s="98">
        <f t="shared" si="24"/>
        <v>65</v>
      </c>
      <c r="AB101" s="98">
        <f t="shared" si="24"/>
        <v>65</v>
      </c>
    </row>
    <row r="102" spans="1:28" x14ac:dyDescent="0.3">
      <c r="A102" s="98" t="s">
        <v>950</v>
      </c>
      <c r="B102" s="98" t="s">
        <v>1053</v>
      </c>
      <c r="C102" s="98" t="s">
        <v>932</v>
      </c>
      <c r="D102" s="98">
        <v>50</v>
      </c>
      <c r="E102" s="98">
        <v>76.900000000000006</v>
      </c>
      <c r="F102" s="98">
        <v>2.7</v>
      </c>
      <c r="G102" s="98"/>
      <c r="H102" s="98"/>
      <c r="I102" s="98"/>
      <c r="K102" s="98">
        <f>ENTERIC!A32</f>
        <v>0</v>
      </c>
      <c r="L102" s="98">
        <f t="shared" si="25"/>
        <v>0</v>
      </c>
      <c r="M102" s="98">
        <f t="shared" si="23"/>
        <v>0</v>
      </c>
      <c r="N102" s="98">
        <f t="shared" si="23"/>
        <v>0</v>
      </c>
      <c r="O102" s="98">
        <f t="shared" si="23"/>
        <v>0</v>
      </c>
      <c r="P102" s="98">
        <f t="shared" si="23"/>
        <v>0</v>
      </c>
      <c r="Q102" s="98">
        <f t="shared" si="23"/>
        <v>0</v>
      </c>
      <c r="R102" s="98">
        <f t="shared" si="23"/>
        <v>0</v>
      </c>
      <c r="S102" s="98">
        <f t="shared" si="23"/>
        <v>0</v>
      </c>
      <c r="U102" s="98">
        <f t="shared" si="26"/>
        <v>0</v>
      </c>
      <c r="V102" s="98">
        <f t="shared" si="24"/>
        <v>0</v>
      </c>
      <c r="W102" s="98">
        <f t="shared" si="24"/>
        <v>0</v>
      </c>
      <c r="X102" s="98">
        <f t="shared" si="24"/>
        <v>0</v>
      </c>
      <c r="Y102" s="98">
        <f t="shared" si="24"/>
        <v>0</v>
      </c>
      <c r="Z102" s="98">
        <f t="shared" si="24"/>
        <v>0</v>
      </c>
      <c r="AA102" s="98">
        <f t="shared" si="24"/>
        <v>0</v>
      </c>
      <c r="AB102" s="98">
        <f t="shared" si="24"/>
        <v>0</v>
      </c>
    </row>
    <row r="103" spans="1:28" x14ac:dyDescent="0.3">
      <c r="A103" s="98" t="s">
        <v>951</v>
      </c>
      <c r="B103" s="98" t="s">
        <v>1054</v>
      </c>
      <c r="C103" s="98" t="s">
        <v>934</v>
      </c>
      <c r="D103" s="98">
        <v>50</v>
      </c>
      <c r="E103" s="98">
        <v>47.4</v>
      </c>
      <c r="F103" s="98">
        <v>5.2</v>
      </c>
      <c r="G103" s="98"/>
      <c r="H103" s="98"/>
      <c r="I103" s="98"/>
      <c r="K103" s="98">
        <f>ENTERIC!A33</f>
        <v>0</v>
      </c>
      <c r="L103" s="98">
        <f t="shared" si="25"/>
        <v>0</v>
      </c>
      <c r="M103" s="98">
        <f t="shared" si="23"/>
        <v>0</v>
      </c>
      <c r="N103" s="98">
        <f t="shared" si="23"/>
        <v>0</v>
      </c>
      <c r="O103" s="98">
        <f t="shared" si="23"/>
        <v>0</v>
      </c>
      <c r="P103" s="98">
        <f t="shared" si="23"/>
        <v>0</v>
      </c>
      <c r="Q103" s="98">
        <f t="shared" si="23"/>
        <v>0</v>
      </c>
      <c r="R103" s="98">
        <f t="shared" si="23"/>
        <v>0</v>
      </c>
      <c r="S103" s="98">
        <f t="shared" si="23"/>
        <v>0</v>
      </c>
      <c r="U103" s="98">
        <f t="shared" si="26"/>
        <v>0</v>
      </c>
      <c r="V103" s="98">
        <f t="shared" si="24"/>
        <v>0</v>
      </c>
      <c r="W103" s="98">
        <f t="shared" si="24"/>
        <v>0</v>
      </c>
      <c r="X103" s="98">
        <f t="shared" si="24"/>
        <v>0</v>
      </c>
      <c r="Y103" s="98">
        <f t="shared" si="24"/>
        <v>0</v>
      </c>
      <c r="Z103" s="98">
        <f t="shared" si="24"/>
        <v>0</v>
      </c>
      <c r="AA103" s="98">
        <f t="shared" si="24"/>
        <v>0</v>
      </c>
      <c r="AB103" s="98">
        <f t="shared" si="24"/>
        <v>0</v>
      </c>
    </row>
    <row r="104" spans="1:28" x14ac:dyDescent="0.3">
      <c r="A104" s="98" t="s">
        <v>952</v>
      </c>
      <c r="B104" s="98" t="s">
        <v>1055</v>
      </c>
      <c r="C104" s="98" t="s">
        <v>934</v>
      </c>
      <c r="D104" s="98">
        <v>50</v>
      </c>
      <c r="E104" s="98">
        <v>47.1</v>
      </c>
      <c r="F104" s="98">
        <v>5.2</v>
      </c>
      <c r="G104" s="98"/>
      <c r="H104" s="98"/>
      <c r="I104" s="98"/>
      <c r="K104" s="98">
        <f>ENTERIC!A34</f>
        <v>0</v>
      </c>
      <c r="L104" s="98">
        <f t="shared" si="25"/>
        <v>0</v>
      </c>
      <c r="M104" s="98">
        <f t="shared" si="23"/>
        <v>0</v>
      </c>
      <c r="N104" s="98">
        <f t="shared" si="23"/>
        <v>0</v>
      </c>
      <c r="O104" s="98">
        <f t="shared" si="23"/>
        <v>0</v>
      </c>
      <c r="P104" s="98">
        <f t="shared" si="23"/>
        <v>0</v>
      </c>
      <c r="Q104" s="98">
        <f t="shared" si="23"/>
        <v>0</v>
      </c>
      <c r="R104" s="98">
        <f t="shared" si="23"/>
        <v>0</v>
      </c>
      <c r="S104" s="98">
        <f t="shared" si="23"/>
        <v>0</v>
      </c>
      <c r="U104" s="98">
        <f t="shared" si="26"/>
        <v>0</v>
      </c>
      <c r="V104" s="98">
        <f t="shared" si="24"/>
        <v>0</v>
      </c>
      <c r="W104" s="98">
        <f t="shared" si="24"/>
        <v>0</v>
      </c>
      <c r="X104" s="98">
        <f t="shared" si="24"/>
        <v>0</v>
      </c>
      <c r="Y104" s="98">
        <f t="shared" si="24"/>
        <v>0</v>
      </c>
      <c r="Z104" s="98">
        <f t="shared" si="24"/>
        <v>0</v>
      </c>
      <c r="AA104" s="98">
        <f t="shared" si="24"/>
        <v>0</v>
      </c>
      <c r="AB104" s="98">
        <f t="shared" si="24"/>
        <v>0</v>
      </c>
    </row>
    <row r="105" spans="1:28" x14ac:dyDescent="0.3">
      <c r="A105" s="98" t="s">
        <v>953</v>
      </c>
      <c r="B105" s="98" t="s">
        <v>1056</v>
      </c>
      <c r="C105" s="98" t="s">
        <v>934</v>
      </c>
      <c r="D105" s="98">
        <v>50</v>
      </c>
      <c r="E105" s="98">
        <v>17.8</v>
      </c>
      <c r="F105" s="98">
        <v>40.5</v>
      </c>
      <c r="G105" s="98"/>
      <c r="H105" s="98"/>
      <c r="I105" s="98"/>
      <c r="K105" s="98">
        <f>ENTERIC!A35</f>
        <v>0</v>
      </c>
      <c r="L105" s="98">
        <f t="shared" si="25"/>
        <v>0</v>
      </c>
      <c r="M105" s="98">
        <f t="shared" si="23"/>
        <v>0</v>
      </c>
      <c r="N105" s="98">
        <f t="shared" si="23"/>
        <v>0</v>
      </c>
      <c r="O105" s="98">
        <f t="shared" si="23"/>
        <v>0</v>
      </c>
      <c r="P105" s="98">
        <f t="shared" si="23"/>
        <v>0</v>
      </c>
      <c r="Q105" s="98">
        <f t="shared" si="23"/>
        <v>0</v>
      </c>
      <c r="R105" s="98">
        <f t="shared" si="23"/>
        <v>0</v>
      </c>
      <c r="S105" s="98">
        <f t="shared" si="23"/>
        <v>0</v>
      </c>
      <c r="U105" s="98">
        <f t="shared" si="26"/>
        <v>0</v>
      </c>
      <c r="V105" s="98">
        <f t="shared" si="24"/>
        <v>0</v>
      </c>
      <c r="W105" s="98">
        <f t="shared" si="24"/>
        <v>0</v>
      </c>
      <c r="X105" s="98">
        <f t="shared" si="24"/>
        <v>0</v>
      </c>
      <c r="Y105" s="98">
        <f t="shared" si="24"/>
        <v>0</v>
      </c>
      <c r="Z105" s="98">
        <f t="shared" si="24"/>
        <v>0</v>
      </c>
      <c r="AA105" s="98">
        <f t="shared" si="24"/>
        <v>0</v>
      </c>
      <c r="AB105" s="98">
        <f t="shared" si="24"/>
        <v>0</v>
      </c>
    </row>
    <row r="106" spans="1:28" x14ac:dyDescent="0.3">
      <c r="A106" s="98" t="s">
        <v>954</v>
      </c>
      <c r="B106" s="98" t="s">
        <v>1057</v>
      </c>
      <c r="C106" s="98" t="s">
        <v>934</v>
      </c>
      <c r="D106" s="98">
        <v>50</v>
      </c>
      <c r="E106" s="98">
        <v>29.8</v>
      </c>
      <c r="F106" s="98">
        <v>5.4</v>
      </c>
      <c r="G106" s="98"/>
      <c r="H106" s="98"/>
      <c r="I106" s="98"/>
      <c r="K106" s="98">
        <f>ENTERIC!A36</f>
        <v>0</v>
      </c>
      <c r="L106" s="98">
        <f t="shared" si="25"/>
        <v>0</v>
      </c>
      <c r="M106" s="98">
        <f t="shared" si="23"/>
        <v>0</v>
      </c>
      <c r="N106" s="98">
        <f t="shared" si="23"/>
        <v>0</v>
      </c>
      <c r="O106" s="98">
        <f t="shared" si="23"/>
        <v>0</v>
      </c>
      <c r="P106" s="98">
        <f t="shared" si="23"/>
        <v>0</v>
      </c>
      <c r="Q106" s="98">
        <f t="shared" si="23"/>
        <v>0</v>
      </c>
      <c r="R106" s="98">
        <f t="shared" si="23"/>
        <v>0</v>
      </c>
      <c r="S106" s="98">
        <f t="shared" si="23"/>
        <v>0</v>
      </c>
      <c r="U106" s="98">
        <f t="shared" si="26"/>
        <v>0</v>
      </c>
      <c r="V106" s="98">
        <f t="shared" si="24"/>
        <v>0</v>
      </c>
      <c r="W106" s="98">
        <f t="shared" si="24"/>
        <v>0</v>
      </c>
      <c r="X106" s="98">
        <f t="shared" si="24"/>
        <v>0</v>
      </c>
      <c r="Y106" s="98">
        <f t="shared" si="24"/>
        <v>0</v>
      </c>
      <c r="Z106" s="98">
        <f t="shared" si="24"/>
        <v>0</v>
      </c>
      <c r="AA106" s="98">
        <f t="shared" si="24"/>
        <v>0</v>
      </c>
      <c r="AB106" s="98">
        <f t="shared" si="24"/>
        <v>0</v>
      </c>
    </row>
    <row r="107" spans="1:28" x14ac:dyDescent="0.3">
      <c r="A107" s="98" t="s">
        <v>955</v>
      </c>
      <c r="B107" s="98"/>
      <c r="C107" s="98" t="s">
        <v>934</v>
      </c>
      <c r="D107" s="98">
        <v>50</v>
      </c>
      <c r="E107" s="98">
        <v>23.8</v>
      </c>
      <c r="F107" s="98">
        <v>20.5</v>
      </c>
      <c r="G107" s="98"/>
      <c r="H107" s="98"/>
      <c r="I107" s="98"/>
      <c r="K107" s="98"/>
    </row>
    <row r="108" spans="1:28" x14ac:dyDescent="0.3">
      <c r="A108" s="98" t="s">
        <v>956</v>
      </c>
      <c r="B108" s="98" t="s">
        <v>1058</v>
      </c>
      <c r="C108" s="98" t="s">
        <v>934</v>
      </c>
      <c r="D108" s="98">
        <v>50</v>
      </c>
      <c r="E108" s="98">
        <v>24.2</v>
      </c>
      <c r="F108" s="98">
        <v>4.9000000000000004</v>
      </c>
      <c r="G108" s="98"/>
      <c r="H108" s="98"/>
      <c r="I108" s="98"/>
    </row>
    <row r="109" spans="1:28" x14ac:dyDescent="0.3">
      <c r="A109" s="98" t="s">
        <v>957</v>
      </c>
      <c r="B109" s="98" t="s">
        <v>1059</v>
      </c>
      <c r="C109" s="98" t="s">
        <v>934</v>
      </c>
      <c r="D109" s="98">
        <v>50</v>
      </c>
      <c r="E109" s="98">
        <v>86.2</v>
      </c>
      <c r="F109" s="98">
        <v>0.6</v>
      </c>
      <c r="G109" s="98"/>
      <c r="H109" s="98"/>
      <c r="I109" s="98"/>
      <c r="K109" t="s">
        <v>1132</v>
      </c>
      <c r="L109">
        <f>(L90*(L100/100))+(L91*(L101/100))+(L92*(L102/100))+(L93*(L103/100))+(L94*(L104/100))+(L95*(L105/100))+(L96*(L106/100))</f>
        <v>72.5</v>
      </c>
      <c r="M109" s="98">
        <f t="shared" ref="M109:S109" si="27">(M90*(M100/100))+(M91*(M101/100))+(M92*(M102/100))+(M93*(M103/100))+(M94*(M104/100))+(M95*(M105/100))+(M96*(M106/100))</f>
        <v>72.5</v>
      </c>
      <c r="N109" s="98">
        <f t="shared" si="27"/>
        <v>80</v>
      </c>
      <c r="O109" s="98">
        <f>(O90*(O100/100))+(O91*(O101/100))+(O92*(O102/100))+(O93*(O103/100))+(O94*(O104/100))+(O95*(O105/100))+(O96*(O106/100))</f>
        <v>0</v>
      </c>
      <c r="P109" s="98">
        <f>(P90*(P100/100))+(P91*(P101/100))+(P92*(P102/100))+(P93*(P103/100))+(P94*(P104/100))+(P95*(P105/100))+(P96*(P106/100))</f>
        <v>65</v>
      </c>
      <c r="Q109" s="98">
        <f t="shared" si="27"/>
        <v>80</v>
      </c>
      <c r="R109" s="98">
        <f t="shared" si="27"/>
        <v>80</v>
      </c>
      <c r="S109" s="98">
        <f t="shared" si="27"/>
        <v>80</v>
      </c>
      <c r="U109" s="98">
        <f>(U90*(U100/100))+(U91*(U101/100))+(U92*(U102/100))+(U93*(U103/100))+(U94*(U104/100))+(U95*(U105/100))+(U96*(U106/100))</f>
        <v>72.5</v>
      </c>
      <c r="V109" s="98">
        <f t="shared" ref="V109:AB109" si="28">(V90*(V100/100))+(V91*(V101/100))+(V92*(V102/100))+(V93*(V103/100))+(V94*(V104/100))+(V95*(V105/100))+(V96*(V106/100))</f>
        <v>72.5</v>
      </c>
      <c r="W109" s="98">
        <f t="shared" si="28"/>
        <v>80</v>
      </c>
      <c r="X109" s="98">
        <f>(X90*(X100/100))+(X91*(X101/100))+(X92*(X102/100))+(X93*(X103/100))+(X94*(X104/100))+(X95*(X105/100))+(X96*(X106/100))</f>
        <v>0</v>
      </c>
      <c r="Y109" s="98">
        <f t="shared" si="28"/>
        <v>65</v>
      </c>
      <c r="Z109" s="98">
        <f t="shared" si="28"/>
        <v>80</v>
      </c>
      <c r="AA109" s="98">
        <f t="shared" si="28"/>
        <v>80</v>
      </c>
      <c r="AB109" s="98">
        <f t="shared" si="28"/>
        <v>80</v>
      </c>
    </row>
    <row r="110" spans="1:28" x14ac:dyDescent="0.3">
      <c r="A110" s="98" t="s">
        <v>958</v>
      </c>
      <c r="B110" s="98" t="s">
        <v>1060</v>
      </c>
      <c r="C110" s="98" t="s">
        <v>934</v>
      </c>
      <c r="D110" s="98">
        <v>80</v>
      </c>
      <c r="E110" s="98">
        <v>38.799999999999997</v>
      </c>
      <c r="F110" s="98">
        <v>10</v>
      </c>
      <c r="G110" s="98"/>
      <c r="H110" s="98"/>
      <c r="I110" s="98"/>
    </row>
    <row r="111" spans="1:28" x14ac:dyDescent="0.3">
      <c r="A111" s="98" t="s">
        <v>959</v>
      </c>
      <c r="B111" s="98" t="s">
        <v>1061</v>
      </c>
      <c r="C111" s="98" t="s">
        <v>934</v>
      </c>
      <c r="D111" s="98">
        <v>80</v>
      </c>
      <c r="E111" s="98">
        <v>35.5</v>
      </c>
      <c r="F111" s="98">
        <v>3.5</v>
      </c>
      <c r="G111" s="98"/>
      <c r="H111" s="98"/>
      <c r="I111" s="98"/>
      <c r="L111" s="306" t="s">
        <v>925</v>
      </c>
      <c r="M111" s="306"/>
      <c r="N111" s="306"/>
      <c r="O111" s="306"/>
      <c r="P111" s="306"/>
      <c r="Q111" s="306"/>
      <c r="R111" s="306"/>
      <c r="S111" s="306"/>
      <c r="T111" s="98"/>
      <c r="U111" s="306" t="s">
        <v>925</v>
      </c>
      <c r="V111" s="306"/>
      <c r="W111" s="306"/>
      <c r="X111" s="306"/>
      <c r="Y111" s="306"/>
      <c r="Z111" s="306"/>
      <c r="AA111" s="306"/>
      <c r="AB111" s="306"/>
    </row>
    <row r="112" spans="1:28" ht="43.2" x14ac:dyDescent="0.3">
      <c r="A112" s="98" t="s">
        <v>960</v>
      </c>
      <c r="B112" s="98" t="s">
        <v>1062</v>
      </c>
      <c r="C112" s="98" t="s">
        <v>934</v>
      </c>
      <c r="D112" s="98">
        <v>80</v>
      </c>
      <c r="E112" s="98">
        <v>11.1</v>
      </c>
      <c r="F112" s="98">
        <v>2.5</v>
      </c>
      <c r="G112" s="98"/>
      <c r="H112" s="98"/>
      <c r="I112" s="98"/>
      <c r="K112" s="100" t="s">
        <v>937</v>
      </c>
      <c r="L112" s="110" t="s">
        <v>221</v>
      </c>
      <c r="M112" s="108" t="s">
        <v>253</v>
      </c>
      <c r="N112" s="108" t="s">
        <v>254</v>
      </c>
      <c r="O112" s="108" t="s">
        <v>255</v>
      </c>
      <c r="P112" s="112" t="s">
        <v>256</v>
      </c>
      <c r="Q112" s="112" t="s">
        <v>257</v>
      </c>
      <c r="R112" s="112" t="s">
        <v>258</v>
      </c>
      <c r="S112" s="112" t="s">
        <v>259</v>
      </c>
      <c r="T112" s="107"/>
      <c r="U112" s="119" t="s">
        <v>221</v>
      </c>
      <c r="V112" s="108" t="s">
        <v>253</v>
      </c>
      <c r="W112" s="108" t="s">
        <v>254</v>
      </c>
      <c r="X112" s="108" t="s">
        <v>255</v>
      </c>
      <c r="Y112" s="112" t="s">
        <v>256</v>
      </c>
      <c r="Z112" s="112" t="s">
        <v>257</v>
      </c>
      <c r="AA112" s="112" t="s">
        <v>258</v>
      </c>
      <c r="AB112" s="112" t="s">
        <v>259</v>
      </c>
    </row>
    <row r="113" spans="1:28" x14ac:dyDescent="0.3">
      <c r="A113" s="98" t="s">
        <v>961</v>
      </c>
      <c r="B113" s="98" t="s">
        <v>1063</v>
      </c>
      <c r="C113" s="98" t="s">
        <v>934</v>
      </c>
      <c r="D113" s="98">
        <v>80</v>
      </c>
      <c r="E113" s="98">
        <v>9.5</v>
      </c>
      <c r="F113" s="98">
        <v>4.2</v>
      </c>
      <c r="G113" s="98"/>
      <c r="H113" s="98"/>
      <c r="I113" s="98"/>
      <c r="K113" t="str">
        <f>ENTERIC!A30</f>
        <v>Corn, distiller's grains w/ solubles, dried</v>
      </c>
      <c r="L113">
        <f>IF($K113=0,0,LOOKUP($K113,$A$90:$A$195,$E$90:$E$195))</f>
        <v>38.799999999999997</v>
      </c>
      <c r="M113" s="98">
        <f t="shared" ref="M113:S119" si="29">IF($K113=0,0,LOOKUP($K113,$A$90:$A$195,$E$90:$E$195))</f>
        <v>38.799999999999997</v>
      </c>
      <c r="N113" s="98">
        <f t="shared" si="29"/>
        <v>38.799999999999997</v>
      </c>
      <c r="O113" s="98">
        <f t="shared" si="29"/>
        <v>38.799999999999997</v>
      </c>
      <c r="P113" s="98">
        <f t="shared" si="29"/>
        <v>38.799999999999997</v>
      </c>
      <c r="Q113" s="98">
        <f t="shared" si="29"/>
        <v>38.799999999999997</v>
      </c>
      <c r="R113" s="98">
        <f t="shared" si="29"/>
        <v>38.799999999999997</v>
      </c>
      <c r="S113" s="98">
        <f t="shared" si="29"/>
        <v>38.799999999999997</v>
      </c>
      <c r="U113">
        <f>IF($K113=0,0,LOOKUP($K113,$A$90:$A$195,$E$90:$E$195))</f>
        <v>38.799999999999997</v>
      </c>
      <c r="V113" s="98">
        <f t="shared" ref="V113:AB119" si="30">IF($K113=0,0,LOOKUP($K113,$A$90:$A$195,$E$90:$E$195))</f>
        <v>38.799999999999997</v>
      </c>
      <c r="W113" s="98">
        <f t="shared" si="30"/>
        <v>38.799999999999997</v>
      </c>
      <c r="X113" s="98">
        <f t="shared" si="30"/>
        <v>38.799999999999997</v>
      </c>
      <c r="Y113" s="98">
        <f t="shared" si="30"/>
        <v>38.799999999999997</v>
      </c>
      <c r="Z113" s="98">
        <f t="shared" si="30"/>
        <v>38.799999999999997</v>
      </c>
      <c r="AA113" s="98">
        <f t="shared" si="30"/>
        <v>38.799999999999997</v>
      </c>
      <c r="AB113" s="98">
        <f t="shared" si="30"/>
        <v>38.799999999999997</v>
      </c>
    </row>
    <row r="114" spans="1:28" x14ac:dyDescent="0.3">
      <c r="A114" s="98" t="s">
        <v>962</v>
      </c>
      <c r="B114" s="98" t="s">
        <v>1063</v>
      </c>
      <c r="C114" s="98" t="s">
        <v>934</v>
      </c>
      <c r="D114" s="98">
        <v>80</v>
      </c>
      <c r="E114" s="98">
        <v>9.5</v>
      </c>
      <c r="F114" s="98">
        <v>4.2</v>
      </c>
      <c r="G114" s="98"/>
      <c r="H114" s="98"/>
      <c r="I114" s="98"/>
      <c r="K114" s="98" t="str">
        <f>ENTERIC!A31</f>
        <v>Grasses, intensively managed pasture</v>
      </c>
      <c r="L114" s="98">
        <f t="shared" ref="L114:L119" si="31">IF($K114=0,0,LOOKUP($K114,$A$90:$A$195,$E$90:$E$195))</f>
        <v>69.099999999999994</v>
      </c>
      <c r="M114" s="98">
        <f t="shared" si="29"/>
        <v>69.099999999999994</v>
      </c>
      <c r="N114" s="98">
        <f t="shared" si="29"/>
        <v>69.099999999999994</v>
      </c>
      <c r="O114" s="98">
        <f t="shared" si="29"/>
        <v>69.099999999999994</v>
      </c>
      <c r="P114" s="98">
        <f t="shared" si="29"/>
        <v>69.099999999999994</v>
      </c>
      <c r="Q114" s="98">
        <f t="shared" si="29"/>
        <v>69.099999999999994</v>
      </c>
      <c r="R114" s="98">
        <f t="shared" si="29"/>
        <v>69.099999999999994</v>
      </c>
      <c r="S114" s="98">
        <f t="shared" si="29"/>
        <v>69.099999999999994</v>
      </c>
      <c r="U114" s="98">
        <f t="shared" ref="U114:U119" si="32">IF($K114=0,0,LOOKUP($K114,$A$90:$A$195,$E$90:$E$195))</f>
        <v>69.099999999999994</v>
      </c>
      <c r="V114" s="98">
        <f t="shared" si="30"/>
        <v>69.099999999999994</v>
      </c>
      <c r="W114" s="98">
        <f t="shared" si="30"/>
        <v>69.099999999999994</v>
      </c>
      <c r="X114" s="98">
        <f t="shared" si="30"/>
        <v>69.099999999999994</v>
      </c>
      <c r="Y114" s="98">
        <f t="shared" si="30"/>
        <v>69.099999999999994</v>
      </c>
      <c r="Z114" s="98">
        <f t="shared" si="30"/>
        <v>69.099999999999994</v>
      </c>
      <c r="AA114" s="98">
        <f t="shared" si="30"/>
        <v>69.099999999999994</v>
      </c>
      <c r="AB114" s="98">
        <f t="shared" si="30"/>
        <v>69.099999999999994</v>
      </c>
    </row>
    <row r="115" spans="1:28" x14ac:dyDescent="0.3">
      <c r="A115" s="98" t="s">
        <v>963</v>
      </c>
      <c r="B115" s="98" t="s">
        <v>1063</v>
      </c>
      <c r="C115" s="98" t="s">
        <v>934</v>
      </c>
      <c r="D115" s="98">
        <v>80</v>
      </c>
      <c r="E115" s="98">
        <v>9.5</v>
      </c>
      <c r="F115" s="98">
        <v>4.2</v>
      </c>
      <c r="G115" s="98"/>
      <c r="H115" s="98"/>
      <c r="I115" s="98"/>
      <c r="K115" s="98">
        <f>ENTERIC!A32</f>
        <v>0</v>
      </c>
      <c r="L115" s="98">
        <f t="shared" si="31"/>
        <v>0</v>
      </c>
      <c r="M115" s="98">
        <f t="shared" si="29"/>
        <v>0</v>
      </c>
      <c r="N115" s="98">
        <f t="shared" si="29"/>
        <v>0</v>
      </c>
      <c r="O115" s="98">
        <f t="shared" si="29"/>
        <v>0</v>
      </c>
      <c r="P115" s="98">
        <f t="shared" si="29"/>
        <v>0</v>
      </c>
      <c r="Q115" s="98">
        <f t="shared" si="29"/>
        <v>0</v>
      </c>
      <c r="R115" s="98">
        <f t="shared" si="29"/>
        <v>0</v>
      </c>
      <c r="S115" s="98">
        <f t="shared" si="29"/>
        <v>0</v>
      </c>
      <c r="U115" s="98">
        <f t="shared" si="32"/>
        <v>0</v>
      </c>
      <c r="V115" s="98">
        <f t="shared" si="30"/>
        <v>0</v>
      </c>
      <c r="W115" s="98">
        <f t="shared" si="30"/>
        <v>0</v>
      </c>
      <c r="X115" s="98">
        <f t="shared" si="30"/>
        <v>0</v>
      </c>
      <c r="Y115" s="98">
        <f t="shared" si="30"/>
        <v>0</v>
      </c>
      <c r="Z115" s="98">
        <f t="shared" si="30"/>
        <v>0</v>
      </c>
      <c r="AA115" s="98">
        <f t="shared" si="30"/>
        <v>0</v>
      </c>
      <c r="AB115" s="98">
        <f t="shared" si="30"/>
        <v>0</v>
      </c>
    </row>
    <row r="116" spans="1:28" x14ac:dyDescent="0.3">
      <c r="A116" s="98" t="s">
        <v>964</v>
      </c>
      <c r="B116" s="98" t="s">
        <v>1064</v>
      </c>
      <c r="C116" s="98" t="s">
        <v>934</v>
      </c>
      <c r="D116" s="98">
        <v>80</v>
      </c>
      <c r="E116" s="98">
        <v>10.3</v>
      </c>
      <c r="F116" s="98">
        <v>4.3</v>
      </c>
      <c r="G116" s="98"/>
      <c r="H116" s="98"/>
      <c r="I116" s="98"/>
      <c r="K116" s="98">
        <f>ENTERIC!A33</f>
        <v>0</v>
      </c>
      <c r="L116" s="98">
        <f t="shared" si="31"/>
        <v>0</v>
      </c>
      <c r="M116" s="98">
        <f t="shared" si="29"/>
        <v>0</v>
      </c>
      <c r="N116" s="98">
        <f t="shared" si="29"/>
        <v>0</v>
      </c>
      <c r="O116" s="98">
        <f t="shared" si="29"/>
        <v>0</v>
      </c>
      <c r="P116" s="98">
        <f t="shared" si="29"/>
        <v>0</v>
      </c>
      <c r="Q116" s="98">
        <f t="shared" si="29"/>
        <v>0</v>
      </c>
      <c r="R116" s="98">
        <f t="shared" si="29"/>
        <v>0</v>
      </c>
      <c r="S116" s="98">
        <f t="shared" si="29"/>
        <v>0</v>
      </c>
      <c r="U116" s="98">
        <f t="shared" si="32"/>
        <v>0</v>
      </c>
      <c r="V116" s="98">
        <f t="shared" si="30"/>
        <v>0</v>
      </c>
      <c r="W116" s="98">
        <f t="shared" si="30"/>
        <v>0</v>
      </c>
      <c r="X116" s="98">
        <f t="shared" si="30"/>
        <v>0</v>
      </c>
      <c r="Y116" s="98">
        <f t="shared" si="30"/>
        <v>0</v>
      </c>
      <c r="Z116" s="98">
        <f t="shared" si="30"/>
        <v>0</v>
      </c>
      <c r="AA116" s="98">
        <f t="shared" si="30"/>
        <v>0</v>
      </c>
      <c r="AB116" s="98">
        <f t="shared" si="30"/>
        <v>0</v>
      </c>
    </row>
    <row r="117" spans="1:28" x14ac:dyDescent="0.3">
      <c r="A117" s="98" t="s">
        <v>965</v>
      </c>
      <c r="B117" s="98" t="s">
        <v>1064</v>
      </c>
      <c r="C117" s="98" t="s">
        <v>934</v>
      </c>
      <c r="D117" s="98">
        <v>80</v>
      </c>
      <c r="E117" s="98">
        <v>10.3</v>
      </c>
      <c r="F117" s="98">
        <v>4.3</v>
      </c>
      <c r="G117" s="98"/>
      <c r="H117" s="98"/>
      <c r="I117" s="98"/>
      <c r="K117" s="98">
        <f>ENTERIC!A34</f>
        <v>0</v>
      </c>
      <c r="L117" s="98">
        <f t="shared" si="31"/>
        <v>0</v>
      </c>
      <c r="M117" s="98">
        <f t="shared" si="29"/>
        <v>0</v>
      </c>
      <c r="N117" s="98">
        <f t="shared" si="29"/>
        <v>0</v>
      </c>
      <c r="O117" s="98">
        <f t="shared" si="29"/>
        <v>0</v>
      </c>
      <c r="P117" s="98">
        <f t="shared" si="29"/>
        <v>0</v>
      </c>
      <c r="Q117" s="98">
        <f t="shared" si="29"/>
        <v>0</v>
      </c>
      <c r="R117" s="98">
        <f t="shared" si="29"/>
        <v>0</v>
      </c>
      <c r="S117" s="98">
        <f t="shared" si="29"/>
        <v>0</v>
      </c>
      <c r="U117" s="98">
        <f t="shared" si="32"/>
        <v>0</v>
      </c>
      <c r="V117" s="98">
        <f t="shared" si="30"/>
        <v>0</v>
      </c>
      <c r="W117" s="98">
        <f t="shared" si="30"/>
        <v>0</v>
      </c>
      <c r="X117" s="98">
        <f t="shared" si="30"/>
        <v>0</v>
      </c>
      <c r="Y117" s="98">
        <f t="shared" si="30"/>
        <v>0</v>
      </c>
      <c r="Z117" s="98">
        <f t="shared" si="30"/>
        <v>0</v>
      </c>
      <c r="AA117" s="98">
        <f t="shared" si="30"/>
        <v>0</v>
      </c>
      <c r="AB117" s="98">
        <f t="shared" si="30"/>
        <v>0</v>
      </c>
    </row>
    <row r="118" spans="1:28" x14ac:dyDescent="0.3">
      <c r="A118" s="98" t="s">
        <v>966</v>
      </c>
      <c r="B118" s="98" t="s">
        <v>1065</v>
      </c>
      <c r="C118" s="98" t="s">
        <v>934</v>
      </c>
      <c r="D118" s="98">
        <v>80</v>
      </c>
      <c r="E118" s="98">
        <v>21.5</v>
      </c>
      <c r="F118" s="98">
        <v>3.9</v>
      </c>
      <c r="G118" s="98"/>
      <c r="H118" s="98"/>
      <c r="I118" s="98"/>
      <c r="K118" s="98">
        <f>ENTERIC!A35</f>
        <v>0</v>
      </c>
      <c r="L118" s="98">
        <f t="shared" si="31"/>
        <v>0</v>
      </c>
      <c r="M118" s="98">
        <f t="shared" si="29"/>
        <v>0</v>
      </c>
      <c r="N118" s="98">
        <f t="shared" si="29"/>
        <v>0</v>
      </c>
      <c r="O118" s="98">
        <f t="shared" si="29"/>
        <v>0</v>
      </c>
      <c r="P118" s="98">
        <f t="shared" si="29"/>
        <v>0</v>
      </c>
      <c r="Q118" s="98">
        <f t="shared" si="29"/>
        <v>0</v>
      </c>
      <c r="R118" s="98">
        <f t="shared" si="29"/>
        <v>0</v>
      </c>
      <c r="S118" s="98">
        <f t="shared" si="29"/>
        <v>0</v>
      </c>
      <c r="U118" s="98">
        <f t="shared" si="32"/>
        <v>0</v>
      </c>
      <c r="V118" s="98">
        <f t="shared" si="30"/>
        <v>0</v>
      </c>
      <c r="W118" s="98">
        <f t="shared" si="30"/>
        <v>0</v>
      </c>
      <c r="X118" s="98">
        <f t="shared" si="30"/>
        <v>0</v>
      </c>
      <c r="Y118" s="98">
        <f t="shared" si="30"/>
        <v>0</v>
      </c>
      <c r="Z118" s="98">
        <f t="shared" si="30"/>
        <v>0</v>
      </c>
      <c r="AA118" s="98">
        <f t="shared" si="30"/>
        <v>0</v>
      </c>
      <c r="AB118" s="98">
        <f t="shared" si="30"/>
        <v>0</v>
      </c>
    </row>
    <row r="119" spans="1:28" x14ac:dyDescent="0.3">
      <c r="A119" s="98" t="s">
        <v>967</v>
      </c>
      <c r="B119" s="98" t="s">
        <v>1066</v>
      </c>
      <c r="C119" s="98" t="s">
        <v>934</v>
      </c>
      <c r="D119" s="98">
        <v>80</v>
      </c>
      <c r="E119" s="98">
        <v>21</v>
      </c>
      <c r="F119" s="98">
        <v>3.9</v>
      </c>
      <c r="G119" s="98"/>
      <c r="H119" s="98"/>
      <c r="I119" s="98"/>
      <c r="K119" s="98">
        <f>ENTERIC!A36</f>
        <v>0</v>
      </c>
      <c r="L119" s="98">
        <f t="shared" si="31"/>
        <v>0</v>
      </c>
      <c r="M119" s="98">
        <f t="shared" si="29"/>
        <v>0</v>
      </c>
      <c r="N119" s="98">
        <f t="shared" si="29"/>
        <v>0</v>
      </c>
      <c r="O119" s="98">
        <f t="shared" si="29"/>
        <v>0</v>
      </c>
      <c r="P119" s="98">
        <f t="shared" si="29"/>
        <v>0</v>
      </c>
      <c r="Q119" s="98">
        <f t="shared" si="29"/>
        <v>0</v>
      </c>
      <c r="R119" s="98">
        <f t="shared" si="29"/>
        <v>0</v>
      </c>
      <c r="S119" s="98">
        <f t="shared" si="29"/>
        <v>0</v>
      </c>
      <c r="U119" s="98">
        <f t="shared" si="32"/>
        <v>0</v>
      </c>
      <c r="V119" s="98">
        <f t="shared" si="30"/>
        <v>0</v>
      </c>
      <c r="W119" s="98">
        <f t="shared" si="30"/>
        <v>0</v>
      </c>
      <c r="X119" s="98">
        <f t="shared" si="30"/>
        <v>0</v>
      </c>
      <c r="Y119" s="98">
        <f t="shared" si="30"/>
        <v>0</v>
      </c>
      <c r="Z119" s="98">
        <f t="shared" si="30"/>
        <v>0</v>
      </c>
      <c r="AA119" s="98">
        <f t="shared" si="30"/>
        <v>0</v>
      </c>
      <c r="AB119" s="98">
        <f t="shared" si="30"/>
        <v>0</v>
      </c>
    </row>
    <row r="120" spans="1:28" x14ac:dyDescent="0.3">
      <c r="A120" s="98" t="s">
        <v>968</v>
      </c>
      <c r="B120" s="98" t="s">
        <v>1067</v>
      </c>
      <c r="C120" s="98" t="s">
        <v>934</v>
      </c>
      <c r="D120" s="98">
        <v>80</v>
      </c>
      <c r="E120" s="98">
        <v>21.1</v>
      </c>
      <c r="F120" s="98">
        <v>4.2</v>
      </c>
      <c r="G120" s="98"/>
      <c r="H120" s="98"/>
      <c r="I120" s="98"/>
    </row>
    <row r="121" spans="1:28" x14ac:dyDescent="0.3">
      <c r="A121" s="98" t="s">
        <v>969</v>
      </c>
      <c r="B121" s="98" t="s">
        <v>1068</v>
      </c>
      <c r="C121" s="98" t="s">
        <v>934</v>
      </c>
      <c r="D121" s="98">
        <v>80</v>
      </c>
      <c r="E121" s="98">
        <v>54.1</v>
      </c>
      <c r="F121" s="98">
        <v>2.5</v>
      </c>
      <c r="G121" s="98"/>
      <c r="H121" s="98"/>
      <c r="I121" s="98"/>
      <c r="K121" s="98"/>
      <c r="L121" s="306" t="s">
        <v>926</v>
      </c>
      <c r="M121" s="306"/>
      <c r="N121" s="306"/>
      <c r="O121" s="306"/>
      <c r="P121" s="306"/>
      <c r="Q121" s="306"/>
      <c r="R121" s="306"/>
      <c r="S121" s="306"/>
      <c r="T121" s="98"/>
      <c r="U121" s="306" t="s">
        <v>926</v>
      </c>
      <c r="V121" s="306"/>
      <c r="W121" s="306"/>
      <c r="X121" s="306"/>
      <c r="Y121" s="306"/>
      <c r="Z121" s="306"/>
      <c r="AA121" s="306"/>
      <c r="AB121" s="306"/>
    </row>
    <row r="122" spans="1:28" ht="43.2" x14ac:dyDescent="0.3">
      <c r="A122" s="98" t="s">
        <v>970</v>
      </c>
      <c r="B122" s="98" t="s">
        <v>1069</v>
      </c>
      <c r="C122" s="98" t="s">
        <v>934</v>
      </c>
      <c r="D122" s="98">
        <v>80</v>
      </c>
      <c r="E122" s="98">
        <v>45</v>
      </c>
      <c r="F122" s="98">
        <v>3.2</v>
      </c>
      <c r="G122" s="98"/>
      <c r="H122" s="98"/>
      <c r="I122" s="98"/>
      <c r="K122" s="100" t="s">
        <v>937</v>
      </c>
      <c r="L122" s="110" t="s">
        <v>221</v>
      </c>
      <c r="M122" s="108" t="s">
        <v>253</v>
      </c>
      <c r="N122" s="108" t="s">
        <v>254</v>
      </c>
      <c r="O122" s="108" t="s">
        <v>255</v>
      </c>
      <c r="P122" s="112" t="s">
        <v>256</v>
      </c>
      <c r="Q122" s="112" t="s">
        <v>257</v>
      </c>
      <c r="R122" s="112" t="s">
        <v>258</v>
      </c>
      <c r="S122" s="112" t="s">
        <v>259</v>
      </c>
      <c r="T122" s="107"/>
      <c r="U122" s="119" t="s">
        <v>221</v>
      </c>
      <c r="V122" s="108" t="s">
        <v>253</v>
      </c>
      <c r="W122" s="108" t="s">
        <v>254</v>
      </c>
      <c r="X122" s="108" t="s">
        <v>255</v>
      </c>
      <c r="Y122" s="112" t="s">
        <v>256</v>
      </c>
      <c r="Z122" s="112" t="s">
        <v>257</v>
      </c>
      <c r="AA122" s="112" t="s">
        <v>258</v>
      </c>
      <c r="AB122" s="112" t="s">
        <v>259</v>
      </c>
    </row>
    <row r="123" spans="1:28" x14ac:dyDescent="0.3">
      <c r="A123" s="98" t="s">
        <v>971</v>
      </c>
      <c r="B123" s="98" t="s">
        <v>1070</v>
      </c>
      <c r="C123" s="98" t="s">
        <v>934</v>
      </c>
      <c r="D123" s="98">
        <v>80</v>
      </c>
      <c r="E123" s="98">
        <v>44.5</v>
      </c>
      <c r="F123" s="98">
        <v>3.2</v>
      </c>
      <c r="G123" s="98"/>
      <c r="H123" s="98"/>
      <c r="I123" s="98"/>
      <c r="K123" s="98" t="str">
        <f>ENTERIC!A30</f>
        <v>Corn, distiller's grains w/ solubles, dried</v>
      </c>
      <c r="L123" s="98">
        <f>IF($K123=0,0,LOOKUP($K123,$A$90:$A$195,$F$90:$F$195))</f>
        <v>10</v>
      </c>
      <c r="M123" s="98">
        <f t="shared" ref="M123:S129" si="33">IF($K123=0,0,LOOKUP($K123,$A$90:$A$195,$F$90:$F$195))</f>
        <v>10</v>
      </c>
      <c r="N123" s="98">
        <f t="shared" si="33"/>
        <v>10</v>
      </c>
      <c r="O123" s="98">
        <f t="shared" si="33"/>
        <v>10</v>
      </c>
      <c r="P123" s="98">
        <f t="shared" si="33"/>
        <v>10</v>
      </c>
      <c r="Q123" s="98">
        <f t="shared" si="33"/>
        <v>10</v>
      </c>
      <c r="R123" s="98">
        <f t="shared" si="33"/>
        <v>10</v>
      </c>
      <c r="S123" s="98">
        <f t="shared" si="33"/>
        <v>10</v>
      </c>
      <c r="T123" s="98"/>
      <c r="U123" s="98">
        <f t="shared" ref="U123:AB129" si="34">IF($K123=0,0,LOOKUP($K123,$A$90:$A$195,$F$90:$F$195))</f>
        <v>10</v>
      </c>
      <c r="V123" s="98">
        <f t="shared" si="34"/>
        <v>10</v>
      </c>
      <c r="W123" s="98">
        <f t="shared" si="34"/>
        <v>10</v>
      </c>
      <c r="X123" s="98">
        <f t="shared" si="34"/>
        <v>10</v>
      </c>
      <c r="Y123" s="98">
        <f t="shared" si="34"/>
        <v>10</v>
      </c>
      <c r="Z123" s="98">
        <f t="shared" si="34"/>
        <v>10</v>
      </c>
      <c r="AA123" s="98">
        <f t="shared" si="34"/>
        <v>10</v>
      </c>
      <c r="AB123" s="98">
        <f t="shared" si="34"/>
        <v>10</v>
      </c>
    </row>
    <row r="124" spans="1:28" x14ac:dyDescent="0.3">
      <c r="A124" s="98" t="s">
        <v>972</v>
      </c>
      <c r="B124" s="98" t="s">
        <v>1071</v>
      </c>
      <c r="C124" s="98" t="s">
        <v>934</v>
      </c>
      <c r="D124" s="98">
        <v>80</v>
      </c>
      <c r="E124" s="98">
        <v>50.3</v>
      </c>
      <c r="F124" s="98">
        <v>19.3</v>
      </c>
      <c r="G124" s="98"/>
      <c r="H124" s="98"/>
      <c r="I124" s="98"/>
      <c r="K124" s="98" t="str">
        <f>ENTERIC!A31</f>
        <v>Grasses, intensively managed pasture</v>
      </c>
      <c r="L124" s="98">
        <f t="shared" ref="L124:L129" si="35">IF($K124=0,0,LOOKUP($K124,$A$90:$A$195,$F$90:$F$195))</f>
        <v>2</v>
      </c>
      <c r="M124" s="98">
        <f t="shared" si="33"/>
        <v>2</v>
      </c>
      <c r="N124" s="98">
        <f t="shared" si="33"/>
        <v>2</v>
      </c>
      <c r="O124" s="98">
        <f t="shared" si="33"/>
        <v>2</v>
      </c>
      <c r="P124" s="98">
        <f t="shared" si="33"/>
        <v>2</v>
      </c>
      <c r="Q124" s="98">
        <f t="shared" si="33"/>
        <v>2</v>
      </c>
      <c r="R124" s="98">
        <f t="shared" si="33"/>
        <v>2</v>
      </c>
      <c r="S124" s="98">
        <f t="shared" si="33"/>
        <v>2</v>
      </c>
      <c r="T124" s="98"/>
      <c r="U124" s="98">
        <f t="shared" si="34"/>
        <v>2</v>
      </c>
      <c r="V124" s="98">
        <f t="shared" si="34"/>
        <v>2</v>
      </c>
      <c r="W124" s="98">
        <f t="shared" si="34"/>
        <v>2</v>
      </c>
      <c r="X124" s="98">
        <f t="shared" si="34"/>
        <v>2</v>
      </c>
      <c r="Y124" s="98">
        <f t="shared" si="34"/>
        <v>2</v>
      </c>
      <c r="Z124" s="98">
        <f t="shared" si="34"/>
        <v>2</v>
      </c>
      <c r="AA124" s="98">
        <f t="shared" si="34"/>
        <v>2</v>
      </c>
      <c r="AB124" s="98">
        <f t="shared" si="34"/>
        <v>2</v>
      </c>
    </row>
    <row r="125" spans="1:28" x14ac:dyDescent="0.3">
      <c r="A125" s="98" t="s">
        <v>973</v>
      </c>
      <c r="B125" s="98" t="s">
        <v>1072</v>
      </c>
      <c r="C125" s="98" t="s">
        <v>934</v>
      </c>
      <c r="D125" s="98">
        <v>80</v>
      </c>
      <c r="E125" s="98">
        <v>85</v>
      </c>
      <c r="F125" s="98">
        <v>2.5</v>
      </c>
      <c r="G125" s="98"/>
      <c r="H125" s="98"/>
      <c r="I125" s="98"/>
      <c r="K125" s="98">
        <f>ENTERIC!A32</f>
        <v>0</v>
      </c>
      <c r="L125" s="98">
        <f t="shared" si="35"/>
        <v>0</v>
      </c>
      <c r="M125" s="98">
        <f t="shared" si="33"/>
        <v>0</v>
      </c>
      <c r="N125" s="98">
        <f t="shared" si="33"/>
        <v>0</v>
      </c>
      <c r="O125" s="98">
        <f t="shared" si="33"/>
        <v>0</v>
      </c>
      <c r="P125" s="98">
        <f t="shared" si="33"/>
        <v>0</v>
      </c>
      <c r="Q125" s="98">
        <f t="shared" si="33"/>
        <v>0</v>
      </c>
      <c r="R125" s="98">
        <f t="shared" si="33"/>
        <v>0</v>
      </c>
      <c r="S125" s="98">
        <f t="shared" si="33"/>
        <v>0</v>
      </c>
      <c r="T125" s="98"/>
      <c r="U125" s="98">
        <f t="shared" si="34"/>
        <v>0</v>
      </c>
      <c r="V125" s="98">
        <f t="shared" si="34"/>
        <v>0</v>
      </c>
      <c r="W125" s="98">
        <f t="shared" si="34"/>
        <v>0</v>
      </c>
      <c r="X125" s="98">
        <f t="shared" si="34"/>
        <v>0</v>
      </c>
      <c r="Y125" s="98">
        <f t="shared" si="34"/>
        <v>0</v>
      </c>
      <c r="Z125" s="98">
        <f t="shared" si="34"/>
        <v>0</v>
      </c>
      <c r="AA125" s="98">
        <f t="shared" si="34"/>
        <v>0</v>
      </c>
      <c r="AB125" s="98">
        <f t="shared" si="34"/>
        <v>0</v>
      </c>
    </row>
    <row r="126" spans="1:28" x14ac:dyDescent="0.3">
      <c r="A126" s="98" t="s">
        <v>974</v>
      </c>
      <c r="B126" s="98" t="s">
        <v>1073</v>
      </c>
      <c r="C126" s="98" t="s">
        <v>934</v>
      </c>
      <c r="D126" s="98">
        <v>80</v>
      </c>
      <c r="E126" s="98">
        <v>30.8</v>
      </c>
      <c r="F126" s="98">
        <v>1.9</v>
      </c>
      <c r="G126" s="98"/>
      <c r="H126" s="98"/>
      <c r="I126" s="98"/>
      <c r="K126" s="98">
        <f>ENTERIC!A33</f>
        <v>0</v>
      </c>
      <c r="L126" s="98">
        <f t="shared" si="35"/>
        <v>0</v>
      </c>
      <c r="M126" s="98">
        <f t="shared" si="33"/>
        <v>0</v>
      </c>
      <c r="N126" s="98">
        <f t="shared" si="33"/>
        <v>0</v>
      </c>
      <c r="O126" s="98">
        <f t="shared" si="33"/>
        <v>0</v>
      </c>
      <c r="P126" s="98">
        <f t="shared" si="33"/>
        <v>0</v>
      </c>
      <c r="Q126" s="98">
        <f t="shared" si="33"/>
        <v>0</v>
      </c>
      <c r="R126" s="98">
        <f t="shared" si="33"/>
        <v>0</v>
      </c>
      <c r="S126" s="98">
        <f t="shared" si="33"/>
        <v>0</v>
      </c>
      <c r="T126" s="98"/>
      <c r="U126" s="98">
        <f t="shared" si="34"/>
        <v>0</v>
      </c>
      <c r="V126" s="98">
        <f t="shared" si="34"/>
        <v>0</v>
      </c>
      <c r="W126" s="98">
        <f t="shared" si="34"/>
        <v>0</v>
      </c>
      <c r="X126" s="98">
        <f t="shared" si="34"/>
        <v>0</v>
      </c>
      <c r="Y126" s="98">
        <f t="shared" si="34"/>
        <v>0</v>
      </c>
      <c r="Z126" s="98">
        <f t="shared" si="34"/>
        <v>0</v>
      </c>
      <c r="AA126" s="98">
        <f t="shared" si="34"/>
        <v>0</v>
      </c>
      <c r="AB126" s="98">
        <f t="shared" si="34"/>
        <v>0</v>
      </c>
    </row>
    <row r="127" spans="1:28" x14ac:dyDescent="0.3">
      <c r="A127" s="98" t="s">
        <v>975</v>
      </c>
      <c r="B127" s="98" t="s">
        <v>1074</v>
      </c>
      <c r="C127" s="98" t="s">
        <v>933</v>
      </c>
      <c r="D127" s="98">
        <v>65</v>
      </c>
      <c r="E127" s="98">
        <v>45.8</v>
      </c>
      <c r="F127" s="98">
        <v>2.7</v>
      </c>
      <c r="G127" s="98"/>
      <c r="H127" s="98"/>
      <c r="I127" s="98"/>
      <c r="K127" s="98">
        <f>ENTERIC!A34</f>
        <v>0</v>
      </c>
      <c r="L127" s="98">
        <f t="shared" si="35"/>
        <v>0</v>
      </c>
      <c r="M127" s="98">
        <f t="shared" si="33"/>
        <v>0</v>
      </c>
      <c r="N127" s="98">
        <f t="shared" si="33"/>
        <v>0</v>
      </c>
      <c r="O127" s="98">
        <f t="shared" si="33"/>
        <v>0</v>
      </c>
      <c r="P127" s="98">
        <f t="shared" si="33"/>
        <v>0</v>
      </c>
      <c r="Q127" s="98">
        <f t="shared" si="33"/>
        <v>0</v>
      </c>
      <c r="R127" s="98">
        <f t="shared" si="33"/>
        <v>0</v>
      </c>
      <c r="S127" s="98">
        <f t="shared" si="33"/>
        <v>0</v>
      </c>
      <c r="T127" s="98"/>
      <c r="U127" s="98">
        <f t="shared" si="34"/>
        <v>0</v>
      </c>
      <c r="V127" s="98">
        <f t="shared" si="34"/>
        <v>0</v>
      </c>
      <c r="W127" s="98">
        <f t="shared" si="34"/>
        <v>0</v>
      </c>
      <c r="X127" s="98">
        <f t="shared" si="34"/>
        <v>0</v>
      </c>
      <c r="Y127" s="98">
        <f t="shared" si="34"/>
        <v>0</v>
      </c>
      <c r="Z127" s="98">
        <f t="shared" si="34"/>
        <v>0</v>
      </c>
      <c r="AA127" s="98">
        <f t="shared" si="34"/>
        <v>0</v>
      </c>
      <c r="AB127" s="98">
        <f t="shared" si="34"/>
        <v>0</v>
      </c>
    </row>
    <row r="128" spans="1:28" x14ac:dyDescent="0.3">
      <c r="A128" s="98" t="s">
        <v>976</v>
      </c>
      <c r="B128" s="98" t="s">
        <v>1075</v>
      </c>
      <c r="C128" s="98" t="s">
        <v>932</v>
      </c>
      <c r="D128" s="98">
        <v>65</v>
      </c>
      <c r="E128" s="98">
        <v>64.400000000000006</v>
      </c>
      <c r="F128" s="98">
        <v>2.6</v>
      </c>
      <c r="G128" s="98"/>
      <c r="H128" s="98"/>
      <c r="I128" s="98"/>
      <c r="K128" s="98">
        <f>ENTERIC!A35</f>
        <v>0</v>
      </c>
      <c r="L128" s="98">
        <f t="shared" si="35"/>
        <v>0</v>
      </c>
      <c r="M128" s="98">
        <f t="shared" si="33"/>
        <v>0</v>
      </c>
      <c r="N128" s="98">
        <f t="shared" si="33"/>
        <v>0</v>
      </c>
      <c r="O128" s="98">
        <f t="shared" si="33"/>
        <v>0</v>
      </c>
      <c r="P128" s="98">
        <f t="shared" si="33"/>
        <v>0</v>
      </c>
      <c r="Q128" s="98">
        <f t="shared" si="33"/>
        <v>0</v>
      </c>
      <c r="R128" s="98">
        <f t="shared" si="33"/>
        <v>0</v>
      </c>
      <c r="S128" s="98">
        <f t="shared" si="33"/>
        <v>0</v>
      </c>
      <c r="T128" s="98"/>
      <c r="U128" s="98">
        <f t="shared" si="34"/>
        <v>0</v>
      </c>
      <c r="V128" s="98">
        <f t="shared" si="34"/>
        <v>0</v>
      </c>
      <c r="W128" s="98">
        <f t="shared" si="34"/>
        <v>0</v>
      </c>
      <c r="X128" s="98">
        <f t="shared" si="34"/>
        <v>0</v>
      </c>
      <c r="Y128" s="98">
        <f t="shared" si="34"/>
        <v>0</v>
      </c>
      <c r="Z128" s="98">
        <f t="shared" si="34"/>
        <v>0</v>
      </c>
      <c r="AA128" s="98">
        <f t="shared" si="34"/>
        <v>0</v>
      </c>
      <c r="AB128" s="98">
        <f t="shared" si="34"/>
        <v>0</v>
      </c>
    </row>
    <row r="129" spans="1:28" x14ac:dyDescent="0.3">
      <c r="A129" s="98" t="s">
        <v>977</v>
      </c>
      <c r="B129" s="98" t="s">
        <v>1076</v>
      </c>
      <c r="C129" s="98" t="s">
        <v>932</v>
      </c>
      <c r="D129" s="98">
        <v>65</v>
      </c>
      <c r="E129" s="98">
        <v>49.6</v>
      </c>
      <c r="F129" s="98">
        <v>3.3</v>
      </c>
      <c r="G129" s="98"/>
      <c r="H129" s="98"/>
      <c r="I129" s="98"/>
      <c r="K129" s="98">
        <f>ENTERIC!A36</f>
        <v>0</v>
      </c>
      <c r="L129" s="98">
        <f t="shared" si="35"/>
        <v>0</v>
      </c>
      <c r="M129" s="98">
        <f t="shared" si="33"/>
        <v>0</v>
      </c>
      <c r="N129" s="98">
        <f t="shared" si="33"/>
        <v>0</v>
      </c>
      <c r="O129" s="98">
        <f t="shared" si="33"/>
        <v>0</v>
      </c>
      <c r="P129" s="98">
        <f t="shared" si="33"/>
        <v>0</v>
      </c>
      <c r="Q129" s="98">
        <f t="shared" si="33"/>
        <v>0</v>
      </c>
      <c r="R129" s="98">
        <f t="shared" si="33"/>
        <v>0</v>
      </c>
      <c r="S129" s="98">
        <f t="shared" si="33"/>
        <v>0</v>
      </c>
      <c r="T129" s="98"/>
      <c r="U129" s="98">
        <f t="shared" si="34"/>
        <v>0</v>
      </c>
      <c r="V129" s="98">
        <f t="shared" si="34"/>
        <v>0</v>
      </c>
      <c r="W129" s="98">
        <f t="shared" si="34"/>
        <v>0</v>
      </c>
      <c r="X129" s="98">
        <f t="shared" si="34"/>
        <v>0</v>
      </c>
      <c r="Y129" s="98">
        <f t="shared" si="34"/>
        <v>0</v>
      </c>
      <c r="Z129" s="98">
        <f t="shared" si="34"/>
        <v>0</v>
      </c>
      <c r="AA129" s="98">
        <f t="shared" si="34"/>
        <v>0</v>
      </c>
      <c r="AB129" s="98">
        <f t="shared" si="34"/>
        <v>0</v>
      </c>
    </row>
    <row r="130" spans="1:28" x14ac:dyDescent="0.3">
      <c r="A130" s="98" t="s">
        <v>978</v>
      </c>
      <c r="B130" s="98" t="s">
        <v>1077</v>
      </c>
      <c r="C130" s="98" t="s">
        <v>932</v>
      </c>
      <c r="D130" s="98">
        <v>65</v>
      </c>
      <c r="E130" s="98">
        <v>57.7</v>
      </c>
      <c r="F130" s="98">
        <v>2.5</v>
      </c>
      <c r="G130" s="98"/>
      <c r="H130" s="98"/>
      <c r="I130" s="98"/>
    </row>
    <row r="131" spans="1:28" x14ac:dyDescent="0.3">
      <c r="A131" s="98" t="s">
        <v>979</v>
      </c>
      <c r="B131" s="98" t="s">
        <v>1078</v>
      </c>
      <c r="C131" s="98" t="s">
        <v>932</v>
      </c>
      <c r="D131" s="98">
        <v>65</v>
      </c>
      <c r="E131" s="98">
        <v>69.099999999999994</v>
      </c>
      <c r="F131" s="98">
        <v>2</v>
      </c>
      <c r="G131" s="98"/>
      <c r="H131" s="98"/>
      <c r="I131" s="98"/>
    </row>
    <row r="132" spans="1:28" x14ac:dyDescent="0.3">
      <c r="A132" s="98" t="s">
        <v>980</v>
      </c>
      <c r="B132" s="98" t="s">
        <v>1079</v>
      </c>
      <c r="C132" s="98" t="s">
        <v>932</v>
      </c>
      <c r="D132" s="98">
        <v>65</v>
      </c>
      <c r="E132" s="98">
        <v>60.7</v>
      </c>
      <c r="F132" s="98">
        <v>3.1</v>
      </c>
      <c r="G132" s="98"/>
      <c r="H132" s="98"/>
      <c r="I132" s="98"/>
      <c r="K132" t="s">
        <v>1138</v>
      </c>
      <c r="L132">
        <f>(0.0189*L113*(L90/100))+(0.0189*L114*(L91/100))+(0.0189*L115*(L92/100))+(0.0189*L116*(L93/100))+(0.0189*L117*(L94/100))+(0.0189*L118*(L95/100))+(0.0189*L119*(L96/100))</f>
        <v>1.019655</v>
      </c>
      <c r="M132" s="98">
        <v>0</v>
      </c>
      <c r="N132" s="98">
        <f>(0.0039*N113*(N90/100))+(0.0039*N114*(N91/100))+(0.0039*N115*(N92/100))+(0.0039*N116*(N93/100))+(0.0039*N117*(N94/100))+(0.0039*N118*(N95/100))+(0.0039*N119*(N96/100))</f>
        <v>0.15131999999999998</v>
      </c>
      <c r="O132" s="98">
        <f t="shared" ref="O132" si="36">(0.0189*O113*(O90/100))+(0.0189*O114*(O91/100))+(0.0189*O115*(O92/100))+(0.0189*O116*(O93/100))+(0.0189*O117*(O94/100))+(0.0189*O118*(O95/100))+(0.0189*O119*(O96/100))</f>
        <v>0</v>
      </c>
      <c r="P132" s="98">
        <f t="shared" ref="P132:S132" si="37">(0.0039*P113*(P90/100))+(0.0039*P114*(P91/100))+(0.0039*P115*(P92/100))+(0.0039*P116*(P93/100))+(0.0039*P117*(P94/100))+(0.0039*P118*(P95/100))+(0.0039*P119*(P96/100))</f>
        <v>0.26948999999999995</v>
      </c>
      <c r="Q132" s="98">
        <f t="shared" si="37"/>
        <v>0.15131999999999998</v>
      </c>
      <c r="R132" s="98">
        <f t="shared" si="37"/>
        <v>0.15131999999999998</v>
      </c>
      <c r="S132" s="98">
        <f t="shared" si="37"/>
        <v>0.15131999999999998</v>
      </c>
      <c r="U132" s="98">
        <f>(0.0189*U113*(U90/100))+(0.0189*U114*(U91/100))+(0.0189*U115*(U92/100))+(0.0189*U116*(U93/100))+(0.0189*U117*(U94/100))+(0.0189*U118*(U95/100))+(0.0189*U119*(U96/100))</f>
        <v>1.019655</v>
      </c>
      <c r="V132" s="98">
        <v>0</v>
      </c>
      <c r="W132" s="98">
        <f>(0.0039*W113*(W90/100))+(0.0039*W114*(W91/100))+(0.0039*W115*(W92/100))+(0.0039*W116*(W93/100))+(0.0039*W117*(W94/100))+(0.0039*W118*(W95/100))+(0.0039*W119*(W96/100))</f>
        <v>0.15131999999999998</v>
      </c>
      <c r="X132" s="98">
        <f t="shared" ref="X132:AB132" si="38">(0.0039*X113*(X90/100))+(0.0039*X114*(X91/100))+(0.0039*X115*(X92/100))+(0.0039*X116*(X93/100))+(0.0039*X117*(X94/100))+(0.0039*X118*(X95/100))+(0.0039*X119*(X96/100))</f>
        <v>0</v>
      </c>
      <c r="Y132" s="98">
        <f t="shared" si="38"/>
        <v>0.26948999999999995</v>
      </c>
      <c r="Z132" s="98">
        <f t="shared" si="38"/>
        <v>0.15131999999999998</v>
      </c>
      <c r="AA132" s="98">
        <f t="shared" si="38"/>
        <v>0.15131999999999998</v>
      </c>
      <c r="AB132" s="98">
        <f t="shared" si="38"/>
        <v>0.15131999999999998</v>
      </c>
    </row>
    <row r="133" spans="1:28" x14ac:dyDescent="0.3">
      <c r="A133" s="98" t="s">
        <v>981</v>
      </c>
      <c r="B133" s="98" t="s">
        <v>1080</v>
      </c>
      <c r="C133" s="98" t="s">
        <v>932</v>
      </c>
      <c r="D133" s="98">
        <v>65</v>
      </c>
      <c r="E133" s="98">
        <v>51</v>
      </c>
      <c r="F133" s="98">
        <v>2.8</v>
      </c>
      <c r="G133" s="98"/>
      <c r="H133" s="98"/>
      <c r="I133" s="98"/>
      <c r="K133" t="s">
        <v>1139</v>
      </c>
      <c r="L133">
        <f>(0.1555*L123*(L90/100))+(0.1555*L124*(L91/100))+(0.1555*L125*(L92/100))+(0.1555*L126*(L93/100))+(0.1555*L127*(L94/100))+(0.1555*L128*(L95/100))+(0.1555*L129*(L96/100))</f>
        <v>0.93299999999999994</v>
      </c>
      <c r="M133" s="98">
        <f>(0.0546*M123*(M90/100))+(0.0546*M124*(M91/100))+(0.0546*M125*(M92/100))+(0.0546*M126*(M93/100))+(0.0546*M127*(M94/100))+(0.0546*M128*(M95/100))+(0.0546*M129*(M96/100))</f>
        <v>0.3276</v>
      </c>
      <c r="N133" s="98">
        <f>(0.0332*N123*(N90/100))+(0.0332*N124*(N91/100))+(0.0332*N125*(N92/100))+(0.0332*N126*(N93/100))+(0.0332*N127*(N94/100))+(0.0332*N128*(N95/100))+(0.0332*N129*(N96/100))</f>
        <v>0.33200000000000002</v>
      </c>
      <c r="O133" s="98">
        <f t="shared" ref="O133" si="39">(0.1555*O123*(O90/100))+(0.1555*O124*(O91/100))+(0.1555*O125*(O92/100))+(0.1555*O126*(O93/100))+(0.1555*O127*(O94/100))+(0.1555*O128*(O95/100))+(0.155*O129*(O96/100))</f>
        <v>0</v>
      </c>
      <c r="P133" s="98">
        <f>(0.0332*P123*(P90/100))+(0.0332*P124*(P91/100))+(0.0332*P125*(P92/100))+(0.1555*P126*(P93/100))+(0.0332*P127*(P94/100))+(0.0332*P128*(P95/100))+(0.0332*P129*(P96/100))</f>
        <v>6.6400000000000001E-2</v>
      </c>
      <c r="Q133" s="98">
        <f>(0.0332*Q123*(Q90/100))+(0.0332*Q124*(Q91/100))+(0.0332*Q125*(Q92/100))+(0.0332*Q126*(Q93/100))+(0.0332*Q127*(Q94/100))+(0.0332*Q128*(Q95/100))+(0.0332*Q129*(Q96/100))</f>
        <v>0.33200000000000002</v>
      </c>
      <c r="R133" s="98">
        <f>(0.0332*R123*(R90/100))+(0.0332*R124*(R91/100))+(0.0332*R125*(R92/100))+(0.0332*R126*(R93/100))+(0.0332*R127*(R94/100))+(0.0332*R128*(R95/100))+(0.0332*R129*(R96/100))</f>
        <v>0.33200000000000002</v>
      </c>
      <c r="S133" s="98">
        <f>(0.0332*S123*(S90/100))+(0.0332*S124*(S91/100))+(0.0332*S125*(S92/100))+(0.0332*S126*(S93/100))+(0.0332*S127*(S94/100))+(0.0332*S128*(S95/100))+(0.0332*S129*(S96/100))</f>
        <v>0.33200000000000002</v>
      </c>
      <c r="U133" s="98">
        <f>(0.1555*U123*(U90/100))+(0.1555*U124*(U91/100))+(0.1555*U125*(U92/100))+(0.1555*U126*(U93/100))+(0.1555*U127*(U94/100))+(0.1555*U128*(U95/100))+(0.1555*U129*(U96/100))</f>
        <v>0.93299999999999994</v>
      </c>
      <c r="V133" s="98">
        <f>(0.0546*V123*(V90/100))+(0.0546*V124*(V91/100))+(0.0546*V125*(V92/100))+(0.0546*V126*(V93/100))+(0.0546*V127*(V94/100))+(0.0546*V128*(V95/100))+(0.0546*V129*(V96/100))</f>
        <v>0.3276</v>
      </c>
      <c r="W133" s="98">
        <f>(0.0332*W123*(W90/100))+(0.0332*W124*(W91/100))+(0.0332*W125*(W92/100))+(0.0332*W126*(W93/100))+(0.0332*W127*(W94/100))+(0.0332*W128*(W95/100))+(0.0332*W129*(W96/100))</f>
        <v>0.33200000000000002</v>
      </c>
      <c r="X133" s="98">
        <f t="shared" ref="X133" si="40">(0.1555*X123*(X90/100))+(0.1555*X124*(X91/100))+(0.1555*X125*(X92/100))+(0.1555*X126*(X93/100))+(0.1555*X127*(X94/100))+(0.1555*X128*(X95/100))+(0.155*X129*(X96/100))</f>
        <v>0</v>
      </c>
      <c r="Y133" s="98">
        <f>(0.0332*Y123*(Y90/100))+(0.0332*Y124*(Y91/100))+(0.0332*Y125*(Y92/100))+(0.1555*Y126*(Y93/100))+(0.0332*Y127*(Y94/100))+(0.0332*Y128*(Y95/100))+(0.0332*Y129*(Y96/100))</f>
        <v>6.6400000000000001E-2</v>
      </c>
      <c r="Z133" s="98">
        <f>(0.0332*Z123*(Z90/100))+(0.0332*Z124*(Z91/100))+(0.0332*Z125*(Z92/100))+(0.0332*Z126*(Z93/100))+(0.0332*Z127*(Z94/100))+(0.0332*Z128*(Z95/100))+(0.0332*Z129*(Z96/100))</f>
        <v>0.33200000000000002</v>
      </c>
      <c r="AA133" s="98">
        <f>(0.0332*AA123*(AA90/100))+(0.0332*AA124*(AA91/100))+(0.0332*AA125*(AA92/100))+(0.0332*AA126*(AA93/100))+(0.0332*AA127*(AA94/100))+(0.0332*AA128*(AA95/100))+(0.0332*AA129*(AA96/100))</f>
        <v>0.33200000000000002</v>
      </c>
      <c r="AB133" s="98">
        <f>(0.0332*AB123*(AB90/100))+(0.0332*AB124*(AB91/100))+(0.0332*AB125*(AB92/100))+(0.0332*AB126*(AB93/100))+(0.0332*AB127*(AB94/100))+(0.0332*AB128*(AB95/100))+(0.0332*AB129*(AB96/100))</f>
        <v>0.33200000000000002</v>
      </c>
    </row>
    <row r="134" spans="1:28" x14ac:dyDescent="0.3">
      <c r="A134" s="98" t="s">
        <v>982</v>
      </c>
      <c r="B134" s="98" t="s">
        <v>1081</v>
      </c>
      <c r="C134" s="98" t="s">
        <v>932</v>
      </c>
      <c r="D134" s="98">
        <v>65</v>
      </c>
      <c r="E134" s="98">
        <v>58.2</v>
      </c>
      <c r="F134" s="98">
        <v>2.4</v>
      </c>
      <c r="G134" s="98"/>
      <c r="H134" s="98"/>
      <c r="I134" s="98"/>
    </row>
    <row r="135" spans="1:28" x14ac:dyDescent="0.3">
      <c r="A135" s="98" t="s">
        <v>983</v>
      </c>
      <c r="B135" s="98" t="s">
        <v>1082</v>
      </c>
      <c r="C135" s="98" t="s">
        <v>932</v>
      </c>
      <c r="D135" s="98">
        <v>65</v>
      </c>
      <c r="E135" s="98">
        <v>66.599999999999994</v>
      </c>
      <c r="F135" s="98">
        <v>3</v>
      </c>
      <c r="G135" s="98"/>
      <c r="H135" s="98"/>
      <c r="I135" s="98"/>
    </row>
    <row r="136" spans="1:28" x14ac:dyDescent="0.3">
      <c r="A136" s="98" t="s">
        <v>984</v>
      </c>
      <c r="B136" s="98" t="s">
        <v>1083</v>
      </c>
      <c r="C136" s="98" t="s">
        <v>932</v>
      </c>
      <c r="D136" s="98">
        <v>65</v>
      </c>
      <c r="E136" s="98">
        <v>49.6</v>
      </c>
      <c r="F136" s="98">
        <v>2.4</v>
      </c>
      <c r="G136" s="98"/>
      <c r="H136" s="98"/>
      <c r="I136" s="98"/>
    </row>
    <row r="137" spans="1:28" x14ac:dyDescent="0.3">
      <c r="A137" s="98" t="s">
        <v>985</v>
      </c>
      <c r="B137" s="98" t="s">
        <v>1084</v>
      </c>
      <c r="C137" s="98" t="s">
        <v>932</v>
      </c>
      <c r="D137" s="98">
        <v>65</v>
      </c>
      <c r="E137" s="98">
        <v>55.1</v>
      </c>
      <c r="F137" s="98">
        <v>2.6</v>
      </c>
      <c r="G137" s="98"/>
      <c r="H137" s="98"/>
      <c r="I137" s="98"/>
    </row>
    <row r="138" spans="1:28" x14ac:dyDescent="0.3">
      <c r="A138" s="98" t="s">
        <v>986</v>
      </c>
      <c r="B138" s="98" t="s">
        <v>1085</v>
      </c>
      <c r="C138" s="98" t="s">
        <v>932</v>
      </c>
      <c r="D138" s="98">
        <v>65</v>
      </c>
      <c r="E138" s="98">
        <v>62.5</v>
      </c>
      <c r="F138" s="98">
        <v>2.2999999999999998</v>
      </c>
      <c r="G138" s="98"/>
      <c r="H138" s="98"/>
      <c r="I138" s="98"/>
    </row>
    <row r="139" spans="1:28" x14ac:dyDescent="0.3">
      <c r="A139" s="98" t="s">
        <v>987</v>
      </c>
      <c r="B139" s="98" t="s">
        <v>1086</v>
      </c>
      <c r="C139" s="98" t="s">
        <v>932</v>
      </c>
      <c r="D139" s="98">
        <v>65</v>
      </c>
      <c r="E139" s="98">
        <v>49.9</v>
      </c>
      <c r="F139" s="98">
        <v>2.9</v>
      </c>
      <c r="G139" s="98"/>
      <c r="H139" s="98"/>
      <c r="I139" s="98"/>
    </row>
    <row r="140" spans="1:28" x14ac:dyDescent="0.3">
      <c r="A140" s="98" t="s">
        <v>988</v>
      </c>
      <c r="B140" s="98" t="s">
        <v>1087</v>
      </c>
      <c r="C140" s="98" t="s">
        <v>932</v>
      </c>
      <c r="D140" s="98">
        <v>65</v>
      </c>
      <c r="E140" s="98">
        <v>54.5</v>
      </c>
      <c r="F140" s="98">
        <v>2.9</v>
      </c>
      <c r="G140" s="98"/>
      <c r="H140" s="98"/>
      <c r="I140" s="98"/>
    </row>
    <row r="141" spans="1:28" x14ac:dyDescent="0.3">
      <c r="A141" s="98" t="s">
        <v>989</v>
      </c>
      <c r="B141" s="98" t="s">
        <v>1088</v>
      </c>
      <c r="C141" s="98" t="s">
        <v>932</v>
      </c>
      <c r="D141" s="98">
        <v>65</v>
      </c>
      <c r="E141" s="98">
        <v>61.7</v>
      </c>
      <c r="F141" s="98">
        <v>2.6</v>
      </c>
      <c r="G141" s="98"/>
      <c r="H141" s="98"/>
      <c r="I141" s="98"/>
    </row>
    <row r="142" spans="1:28" x14ac:dyDescent="0.3">
      <c r="A142" s="98" t="s">
        <v>990</v>
      </c>
      <c r="B142" s="98" t="s">
        <v>1083</v>
      </c>
      <c r="C142" s="98" t="s">
        <v>932</v>
      </c>
      <c r="D142" s="98">
        <v>65</v>
      </c>
      <c r="E142" s="98">
        <v>45.4</v>
      </c>
      <c r="F142" s="98">
        <v>2.5</v>
      </c>
      <c r="G142" s="98"/>
      <c r="H142" s="98"/>
      <c r="I142" s="98"/>
    </row>
    <row r="143" spans="1:28" x14ac:dyDescent="0.3">
      <c r="A143" s="98" t="s">
        <v>991</v>
      </c>
      <c r="B143" s="98" t="s">
        <v>1084</v>
      </c>
      <c r="C143" s="98" t="s">
        <v>932</v>
      </c>
      <c r="D143" s="98">
        <v>65</v>
      </c>
      <c r="E143" s="98">
        <v>50.8</v>
      </c>
      <c r="F143" s="98">
        <v>2.2999999999999998</v>
      </c>
      <c r="G143" s="98"/>
      <c r="H143" s="98"/>
      <c r="I143" s="98"/>
    </row>
    <row r="144" spans="1:28" x14ac:dyDescent="0.3">
      <c r="A144" s="98" t="s">
        <v>992</v>
      </c>
      <c r="B144" s="98" t="s">
        <v>1085</v>
      </c>
      <c r="C144" s="98" t="s">
        <v>932</v>
      </c>
      <c r="D144" s="98">
        <v>65</v>
      </c>
      <c r="E144" s="98">
        <v>56</v>
      </c>
      <c r="F144" s="98">
        <v>2</v>
      </c>
      <c r="G144" s="98"/>
      <c r="H144" s="98"/>
      <c r="I144" s="98"/>
    </row>
    <row r="145" spans="1:9" x14ac:dyDescent="0.3">
      <c r="A145" s="98" t="s">
        <v>993</v>
      </c>
      <c r="B145" s="98" t="s">
        <v>1086</v>
      </c>
      <c r="C145" s="98" t="s">
        <v>932</v>
      </c>
      <c r="D145" s="98">
        <v>65</v>
      </c>
      <c r="E145" s="98">
        <v>45.3</v>
      </c>
      <c r="F145" s="98">
        <v>2.2999999999999998</v>
      </c>
      <c r="G145" s="98"/>
      <c r="H145" s="98"/>
      <c r="I145" s="98"/>
    </row>
    <row r="146" spans="1:9" x14ac:dyDescent="0.3">
      <c r="A146" s="98" t="s">
        <v>994</v>
      </c>
      <c r="B146" s="98" t="s">
        <v>1087</v>
      </c>
      <c r="C146" s="98" t="s">
        <v>932</v>
      </c>
      <c r="D146" s="98">
        <v>65</v>
      </c>
      <c r="E146" s="98">
        <v>50.4</v>
      </c>
      <c r="F146" s="98">
        <v>2.5</v>
      </c>
      <c r="G146" s="98"/>
      <c r="H146" s="98"/>
      <c r="I146" s="98"/>
    </row>
    <row r="147" spans="1:9" x14ac:dyDescent="0.3">
      <c r="A147" s="98" t="s">
        <v>995</v>
      </c>
      <c r="B147" s="98" t="s">
        <v>1088</v>
      </c>
      <c r="C147" s="98" t="s">
        <v>932</v>
      </c>
      <c r="D147" s="98">
        <v>65</v>
      </c>
      <c r="E147" s="98">
        <v>57.4</v>
      </c>
      <c r="F147" s="98">
        <v>2.2999999999999998</v>
      </c>
      <c r="G147" s="98"/>
      <c r="H147" s="98"/>
      <c r="I147" s="98"/>
    </row>
    <row r="148" spans="1:9" x14ac:dyDescent="0.3">
      <c r="A148" s="98" t="s">
        <v>996</v>
      </c>
      <c r="B148" s="98" t="s">
        <v>1083</v>
      </c>
      <c r="C148" s="98" t="s">
        <v>932</v>
      </c>
      <c r="D148" s="98">
        <v>65</v>
      </c>
      <c r="E148" s="98">
        <v>41.7</v>
      </c>
      <c r="F148" s="98">
        <v>2</v>
      </c>
      <c r="G148" s="98"/>
      <c r="H148" s="98"/>
      <c r="I148" s="98"/>
    </row>
    <row r="149" spans="1:9" x14ac:dyDescent="0.3">
      <c r="A149" s="98" t="s">
        <v>997</v>
      </c>
      <c r="B149" s="98" t="s">
        <v>1084</v>
      </c>
      <c r="C149" s="98" t="s">
        <v>932</v>
      </c>
      <c r="D149" s="98">
        <v>65</v>
      </c>
      <c r="E149" s="98">
        <v>47.2</v>
      </c>
      <c r="F149" s="98">
        <v>2</v>
      </c>
      <c r="G149" s="98"/>
      <c r="H149" s="98"/>
      <c r="I149" s="98"/>
    </row>
    <row r="150" spans="1:9" x14ac:dyDescent="0.3">
      <c r="A150" s="98" t="s">
        <v>998</v>
      </c>
      <c r="B150" s="98" t="s">
        <v>1085</v>
      </c>
      <c r="C150" s="98" t="s">
        <v>932</v>
      </c>
      <c r="D150" s="98">
        <v>65</v>
      </c>
      <c r="E150" s="98">
        <v>53.6</v>
      </c>
      <c r="F150" s="98">
        <v>1.7</v>
      </c>
      <c r="G150" s="98"/>
      <c r="H150" s="98"/>
      <c r="I150" s="98"/>
    </row>
    <row r="151" spans="1:9" x14ac:dyDescent="0.3">
      <c r="A151" s="98" t="s">
        <v>999</v>
      </c>
      <c r="B151" s="98" t="s">
        <v>1086</v>
      </c>
      <c r="C151" s="98" t="s">
        <v>932</v>
      </c>
      <c r="D151" s="98">
        <v>65</v>
      </c>
      <c r="E151" s="98">
        <v>42.2</v>
      </c>
      <c r="F151" s="98">
        <v>2.2000000000000002</v>
      </c>
      <c r="G151" s="98"/>
      <c r="H151" s="98"/>
      <c r="I151" s="98"/>
    </row>
    <row r="152" spans="1:9" x14ac:dyDescent="0.3">
      <c r="A152" s="98" t="s">
        <v>1000</v>
      </c>
      <c r="B152" s="98" t="s">
        <v>1087</v>
      </c>
      <c r="C152" s="98" t="s">
        <v>932</v>
      </c>
      <c r="D152" s="98">
        <v>65</v>
      </c>
      <c r="E152" s="98">
        <v>47</v>
      </c>
      <c r="F152" s="98">
        <v>2.1</v>
      </c>
      <c r="G152" s="98"/>
      <c r="H152" s="98"/>
      <c r="I152" s="98"/>
    </row>
    <row r="153" spans="1:9" x14ac:dyDescent="0.3">
      <c r="A153" s="98" t="s">
        <v>1001</v>
      </c>
      <c r="B153" s="98" t="s">
        <v>1088</v>
      </c>
      <c r="C153" s="98" t="s">
        <v>932</v>
      </c>
      <c r="D153" s="98">
        <v>65</v>
      </c>
      <c r="E153" s="98">
        <v>53.7</v>
      </c>
      <c r="F153" s="98">
        <v>2</v>
      </c>
      <c r="G153" s="98"/>
      <c r="H153" s="98"/>
      <c r="I153" s="98"/>
    </row>
    <row r="154" spans="1:9" x14ac:dyDescent="0.3">
      <c r="A154" s="98" t="s">
        <v>1002</v>
      </c>
      <c r="B154" s="98" t="s">
        <v>1089</v>
      </c>
      <c r="C154" s="98" t="s">
        <v>933</v>
      </c>
      <c r="D154" s="98">
        <v>65</v>
      </c>
      <c r="E154" s="98">
        <v>33.1</v>
      </c>
      <c r="F154" s="98">
        <v>3.7</v>
      </c>
      <c r="G154" s="98"/>
      <c r="H154" s="98"/>
      <c r="I154" s="98"/>
    </row>
    <row r="155" spans="1:9" x14ac:dyDescent="0.3">
      <c r="A155" s="98" t="s">
        <v>1003</v>
      </c>
      <c r="B155" s="98" t="s">
        <v>1090</v>
      </c>
      <c r="C155" s="98" t="s">
        <v>932</v>
      </c>
      <c r="D155" s="98">
        <v>65</v>
      </c>
      <c r="E155" s="98">
        <v>39.6</v>
      </c>
      <c r="F155" s="98">
        <v>2.1</v>
      </c>
      <c r="G155" s="98"/>
      <c r="H155" s="98"/>
      <c r="I155" s="98"/>
    </row>
    <row r="156" spans="1:9" x14ac:dyDescent="0.3">
      <c r="A156" s="98" t="s">
        <v>1004</v>
      </c>
      <c r="B156" s="98" t="s">
        <v>1091</v>
      </c>
      <c r="C156" s="98" t="s">
        <v>932</v>
      </c>
      <c r="D156" s="98">
        <v>65</v>
      </c>
      <c r="E156" s="98">
        <v>36.299999999999997</v>
      </c>
      <c r="F156" s="98">
        <v>2.1</v>
      </c>
      <c r="G156" s="98"/>
      <c r="H156" s="98"/>
      <c r="I156" s="98"/>
    </row>
    <row r="157" spans="1:9" x14ac:dyDescent="0.3">
      <c r="A157" s="98" t="s">
        <v>1005</v>
      </c>
      <c r="B157" s="98" t="s">
        <v>1092</v>
      </c>
      <c r="C157" s="98" t="s">
        <v>932</v>
      </c>
      <c r="D157" s="98">
        <v>65</v>
      </c>
      <c r="E157" s="98">
        <v>42.9</v>
      </c>
      <c r="F157" s="98">
        <v>2</v>
      </c>
      <c r="G157" s="98"/>
      <c r="H157" s="98"/>
      <c r="I157" s="98"/>
    </row>
    <row r="158" spans="1:9" x14ac:dyDescent="0.3">
      <c r="A158" s="98" t="s">
        <v>1006</v>
      </c>
      <c r="B158" s="98" t="s">
        <v>1093</v>
      </c>
      <c r="C158" s="98" t="s">
        <v>932</v>
      </c>
      <c r="D158" s="98">
        <v>65</v>
      </c>
      <c r="E158" s="98">
        <v>50.9</v>
      </c>
      <c r="F158" s="98">
        <v>1.6</v>
      </c>
      <c r="G158" s="98"/>
      <c r="H158" s="98"/>
      <c r="I158" s="98"/>
    </row>
    <row r="159" spans="1:9" x14ac:dyDescent="0.3">
      <c r="A159" s="98" t="s">
        <v>1007</v>
      </c>
      <c r="B159" s="98" t="s">
        <v>1094</v>
      </c>
      <c r="C159" s="98" t="s">
        <v>932</v>
      </c>
      <c r="D159" s="98">
        <v>65</v>
      </c>
      <c r="E159" s="98">
        <v>45.7</v>
      </c>
      <c r="F159" s="98">
        <v>3.1</v>
      </c>
      <c r="G159" s="98"/>
      <c r="H159" s="98"/>
      <c r="I159" s="98"/>
    </row>
    <row r="160" spans="1:9" x14ac:dyDescent="0.3">
      <c r="A160" s="98" t="s">
        <v>1008</v>
      </c>
      <c r="B160" s="98" t="s">
        <v>1095</v>
      </c>
      <c r="C160" s="98" t="s">
        <v>932</v>
      </c>
      <c r="D160" s="98">
        <v>65</v>
      </c>
      <c r="E160" s="98">
        <v>36.700000000000003</v>
      </c>
      <c r="F160" s="98">
        <v>2.2999999999999998</v>
      </c>
      <c r="G160" s="98"/>
      <c r="H160" s="98"/>
      <c r="I160" s="98"/>
    </row>
    <row r="161" spans="1:9" x14ac:dyDescent="0.3">
      <c r="A161" s="98" t="s">
        <v>1009</v>
      </c>
      <c r="B161" s="98" t="s">
        <v>1096</v>
      </c>
      <c r="C161" s="98" t="s">
        <v>932</v>
      </c>
      <c r="D161" s="98">
        <v>65</v>
      </c>
      <c r="E161" s="98">
        <v>43.2</v>
      </c>
      <c r="F161" s="98">
        <v>2.2000000000000002</v>
      </c>
      <c r="G161" s="98"/>
      <c r="H161" s="98"/>
      <c r="I161" s="98"/>
    </row>
    <row r="162" spans="1:9" x14ac:dyDescent="0.3">
      <c r="A162" s="98" t="s">
        <v>1010</v>
      </c>
      <c r="B162" s="98" t="s">
        <v>1097</v>
      </c>
      <c r="C162" s="98" t="s">
        <v>932</v>
      </c>
      <c r="D162" s="98">
        <v>65</v>
      </c>
      <c r="E162" s="98">
        <v>50</v>
      </c>
      <c r="F162" s="98">
        <v>2.1</v>
      </c>
      <c r="G162" s="98"/>
      <c r="H162" s="98"/>
      <c r="I162" s="98"/>
    </row>
    <row r="163" spans="1:9" x14ac:dyDescent="0.3">
      <c r="A163" s="98" t="s">
        <v>1011</v>
      </c>
      <c r="B163" s="98" t="s">
        <v>1098</v>
      </c>
      <c r="C163" s="98" t="s">
        <v>934</v>
      </c>
      <c r="D163" s="98">
        <v>50</v>
      </c>
      <c r="E163" s="98">
        <v>0.1</v>
      </c>
      <c r="F163" s="98">
        <v>0.2</v>
      </c>
      <c r="G163" s="98"/>
      <c r="H163" s="98"/>
      <c r="I163" s="98"/>
    </row>
    <row r="164" spans="1:9" x14ac:dyDescent="0.3">
      <c r="A164" s="98" t="s">
        <v>1012</v>
      </c>
      <c r="B164" s="98" t="s">
        <v>1099</v>
      </c>
      <c r="C164" s="98" t="s">
        <v>934</v>
      </c>
      <c r="D164" s="98">
        <v>50</v>
      </c>
      <c r="E164" s="98">
        <v>0.4</v>
      </c>
      <c r="F164" s="98">
        <v>0.2</v>
      </c>
      <c r="G164" s="98"/>
      <c r="H164" s="98"/>
      <c r="I164" s="98"/>
    </row>
    <row r="165" spans="1:9" x14ac:dyDescent="0.3">
      <c r="A165" s="98" t="s">
        <v>1013</v>
      </c>
      <c r="B165" s="98" t="s">
        <v>1100</v>
      </c>
      <c r="C165" s="98" t="s">
        <v>934</v>
      </c>
      <c r="D165" s="98">
        <v>80</v>
      </c>
      <c r="E165" s="98">
        <v>30</v>
      </c>
      <c r="F165" s="98">
        <v>5.0999999999999996</v>
      </c>
      <c r="G165" s="98"/>
      <c r="H165" s="98"/>
      <c r="I165" s="98"/>
    </row>
    <row r="166" spans="1:9" x14ac:dyDescent="0.3">
      <c r="A166" s="98" t="s">
        <v>1014</v>
      </c>
      <c r="B166" s="98" t="s">
        <v>1101</v>
      </c>
      <c r="C166" s="98" t="s">
        <v>934</v>
      </c>
      <c r="D166" s="98">
        <v>80</v>
      </c>
      <c r="E166" s="98">
        <v>58</v>
      </c>
      <c r="F166" s="98">
        <v>2.2000000000000002</v>
      </c>
      <c r="G166" s="98"/>
      <c r="H166" s="98"/>
      <c r="I166" s="98"/>
    </row>
    <row r="167" spans="1:9" x14ac:dyDescent="0.3">
      <c r="A167" s="98" t="s">
        <v>1015</v>
      </c>
      <c r="B167" s="98" t="s">
        <v>1102</v>
      </c>
      <c r="C167" s="98" t="s">
        <v>934</v>
      </c>
      <c r="D167" s="98">
        <v>80</v>
      </c>
      <c r="E167" s="98">
        <v>60.6</v>
      </c>
      <c r="F167" s="98">
        <v>3.4</v>
      </c>
      <c r="G167" s="98"/>
      <c r="H167" s="98"/>
      <c r="I167" s="98"/>
    </row>
    <row r="168" spans="1:9" x14ac:dyDescent="0.3">
      <c r="A168" s="98" t="s">
        <v>1016</v>
      </c>
      <c r="B168" s="98" t="s">
        <v>1103</v>
      </c>
      <c r="C168" s="98" t="s">
        <v>934</v>
      </c>
      <c r="D168" s="98">
        <v>50</v>
      </c>
      <c r="E168" s="98">
        <v>21.4</v>
      </c>
      <c r="F168" s="98">
        <v>1.4</v>
      </c>
      <c r="G168" s="98"/>
      <c r="H168" s="98"/>
      <c r="I168" s="98"/>
    </row>
    <row r="169" spans="1:9" x14ac:dyDescent="0.3">
      <c r="A169" s="98" t="s">
        <v>1017</v>
      </c>
      <c r="B169" s="98" t="s">
        <v>1104</v>
      </c>
      <c r="C169" s="98" t="s">
        <v>934</v>
      </c>
      <c r="D169" s="98">
        <v>50</v>
      </c>
      <c r="E169" s="98">
        <v>22.1</v>
      </c>
      <c r="F169" s="98">
        <v>10.8</v>
      </c>
      <c r="G169" s="98"/>
      <c r="H169" s="98"/>
      <c r="I169" s="98"/>
    </row>
    <row r="170" spans="1:9" x14ac:dyDescent="0.3">
      <c r="A170" s="98" t="s">
        <v>1018</v>
      </c>
      <c r="B170" s="98" t="s">
        <v>1105</v>
      </c>
      <c r="C170" s="98" t="s">
        <v>934</v>
      </c>
      <c r="D170" s="98">
        <v>50</v>
      </c>
      <c r="E170" s="98">
        <v>26.1</v>
      </c>
      <c r="F170" s="98">
        <v>15.2</v>
      </c>
      <c r="G170" s="98"/>
      <c r="H170" s="98"/>
      <c r="I170" s="98"/>
    </row>
    <row r="171" spans="1:9" x14ac:dyDescent="0.3">
      <c r="A171" s="98" t="s">
        <v>1019</v>
      </c>
      <c r="B171" s="98" t="s">
        <v>1106</v>
      </c>
      <c r="C171" s="98" t="s">
        <v>934</v>
      </c>
      <c r="D171" s="98">
        <v>80</v>
      </c>
      <c r="E171" s="98">
        <v>57.8</v>
      </c>
      <c r="F171" s="98">
        <v>3.8</v>
      </c>
      <c r="G171" s="98"/>
      <c r="H171" s="98"/>
      <c r="I171" s="98"/>
    </row>
    <row r="172" spans="1:9" x14ac:dyDescent="0.3">
      <c r="A172" s="98" t="s">
        <v>1020</v>
      </c>
      <c r="B172" s="98" t="s">
        <v>1107</v>
      </c>
      <c r="C172" s="98" t="s">
        <v>934</v>
      </c>
      <c r="D172" s="98">
        <v>50</v>
      </c>
      <c r="E172" s="98">
        <v>53.8</v>
      </c>
      <c r="F172" s="98">
        <v>2.4</v>
      </c>
      <c r="G172" s="98"/>
      <c r="H172" s="98"/>
      <c r="I172" s="98"/>
    </row>
    <row r="173" spans="1:9" x14ac:dyDescent="0.3">
      <c r="A173" s="98" t="s">
        <v>1021</v>
      </c>
      <c r="B173" s="98" t="s">
        <v>1108</v>
      </c>
      <c r="C173" s="98" t="s">
        <v>934</v>
      </c>
      <c r="D173" s="98">
        <v>80</v>
      </c>
      <c r="E173" s="98">
        <v>10.9</v>
      </c>
      <c r="F173" s="98">
        <v>3.1</v>
      </c>
      <c r="G173" s="98"/>
      <c r="H173" s="98"/>
      <c r="I173" s="98"/>
    </row>
    <row r="174" spans="1:9" x14ac:dyDescent="0.3">
      <c r="A174" s="98" t="s">
        <v>1022</v>
      </c>
      <c r="B174" s="98" t="s">
        <v>1108</v>
      </c>
      <c r="C174" s="98" t="s">
        <v>934</v>
      </c>
      <c r="D174" s="98">
        <v>80</v>
      </c>
      <c r="E174" s="98">
        <v>10.9</v>
      </c>
      <c r="F174" s="98">
        <v>3.1</v>
      </c>
      <c r="G174" s="98"/>
      <c r="H174" s="98"/>
      <c r="I174" s="98"/>
    </row>
    <row r="175" spans="1:9" x14ac:dyDescent="0.3">
      <c r="A175" s="98" t="s">
        <v>1023</v>
      </c>
      <c r="B175" s="98" t="s">
        <v>1109</v>
      </c>
      <c r="C175" s="98" t="s">
        <v>934</v>
      </c>
      <c r="D175" s="98">
        <v>80</v>
      </c>
      <c r="E175" s="98">
        <v>60.7</v>
      </c>
      <c r="F175" s="98">
        <v>2.9</v>
      </c>
      <c r="G175" s="98"/>
      <c r="H175" s="98"/>
      <c r="I175" s="98"/>
    </row>
    <row r="176" spans="1:9" x14ac:dyDescent="0.3">
      <c r="A176" s="98" t="s">
        <v>1024</v>
      </c>
      <c r="B176" s="98" t="s">
        <v>1110</v>
      </c>
      <c r="C176" s="98" t="s">
        <v>934</v>
      </c>
      <c r="D176" s="98">
        <v>80</v>
      </c>
      <c r="E176" s="98">
        <v>64.8</v>
      </c>
      <c r="F176" s="98">
        <v>2.2999999999999998</v>
      </c>
      <c r="G176" s="98"/>
      <c r="H176" s="98"/>
      <c r="I176" s="98"/>
    </row>
    <row r="177" spans="1:9" x14ac:dyDescent="0.3">
      <c r="A177" s="98" t="s">
        <v>1025</v>
      </c>
      <c r="B177" s="98" t="s">
        <v>1111</v>
      </c>
      <c r="C177" s="98" t="s">
        <v>934</v>
      </c>
      <c r="D177" s="98">
        <v>80</v>
      </c>
      <c r="E177" s="98">
        <v>63.3</v>
      </c>
      <c r="F177" s="98">
        <v>3.6</v>
      </c>
      <c r="G177" s="98"/>
      <c r="H177" s="98"/>
      <c r="I177" s="98"/>
    </row>
    <row r="178" spans="1:9" x14ac:dyDescent="0.3">
      <c r="A178" s="98" t="s">
        <v>1026</v>
      </c>
      <c r="B178" s="98" t="s">
        <v>1112</v>
      </c>
      <c r="C178" s="98" t="s">
        <v>934</v>
      </c>
      <c r="D178" s="98">
        <v>80</v>
      </c>
      <c r="E178" s="98">
        <v>60.3</v>
      </c>
      <c r="F178" s="98">
        <v>2.7</v>
      </c>
      <c r="G178" s="98"/>
      <c r="H178" s="98"/>
      <c r="I178" s="98"/>
    </row>
    <row r="179" spans="1:9" x14ac:dyDescent="0.3">
      <c r="A179" s="98" t="s">
        <v>1027</v>
      </c>
      <c r="B179" s="98" t="s">
        <v>1113</v>
      </c>
      <c r="C179" s="98" t="s">
        <v>934</v>
      </c>
      <c r="D179" s="98">
        <v>80</v>
      </c>
      <c r="E179" s="98">
        <v>21.7</v>
      </c>
      <c r="F179" s="98">
        <v>8.1</v>
      </c>
      <c r="G179" s="98"/>
      <c r="H179" s="98"/>
      <c r="I179" s="98"/>
    </row>
    <row r="180" spans="1:9" x14ac:dyDescent="0.3">
      <c r="A180" s="98" t="s">
        <v>1028</v>
      </c>
      <c r="B180" s="98"/>
      <c r="C180" s="98" t="s">
        <v>934</v>
      </c>
      <c r="D180" s="98">
        <v>80</v>
      </c>
      <c r="E180" s="98">
        <v>29.7</v>
      </c>
      <c r="F180" s="98">
        <v>2.2999999999999998</v>
      </c>
      <c r="G180" s="98"/>
      <c r="H180" s="98"/>
      <c r="I180" s="98"/>
    </row>
    <row r="181" spans="1:9" x14ac:dyDescent="0.3">
      <c r="A181" s="98" t="s">
        <v>1029</v>
      </c>
      <c r="B181" s="98" t="s">
        <v>1114</v>
      </c>
      <c r="C181" s="98" t="s">
        <v>934</v>
      </c>
      <c r="D181" s="98">
        <v>80</v>
      </c>
      <c r="E181" s="98">
        <v>14.9</v>
      </c>
      <c r="F181" s="98">
        <v>1.6</v>
      </c>
      <c r="G181" s="98"/>
      <c r="H181" s="98"/>
      <c r="I181" s="98"/>
    </row>
    <row r="182" spans="1:9" x14ac:dyDescent="0.3">
      <c r="A182" s="98" t="s">
        <v>1030</v>
      </c>
      <c r="B182" s="98" t="s">
        <v>1115</v>
      </c>
      <c r="C182" s="98" t="s">
        <v>934</v>
      </c>
      <c r="D182" s="98">
        <v>80</v>
      </c>
      <c r="E182" s="98">
        <v>9.8000000000000007</v>
      </c>
      <c r="F182" s="98">
        <v>1.1000000000000001</v>
      </c>
      <c r="G182" s="98"/>
      <c r="H182" s="98"/>
      <c r="I182" s="98"/>
    </row>
    <row r="183" spans="1:9" x14ac:dyDescent="0.3">
      <c r="A183" s="98" t="s">
        <v>1031</v>
      </c>
      <c r="B183" s="98" t="s">
        <v>1116</v>
      </c>
      <c r="C183" s="98" t="s">
        <v>934</v>
      </c>
      <c r="D183" s="98">
        <v>80</v>
      </c>
      <c r="E183" s="98">
        <v>19.5</v>
      </c>
      <c r="F183" s="98">
        <v>19.2</v>
      </c>
      <c r="G183" s="98"/>
      <c r="H183" s="98"/>
      <c r="I183" s="98"/>
    </row>
    <row r="184" spans="1:9" x14ac:dyDescent="0.3">
      <c r="A184" s="98" t="s">
        <v>1032</v>
      </c>
      <c r="B184" s="98" t="s">
        <v>1117</v>
      </c>
      <c r="C184" s="98" t="s">
        <v>934</v>
      </c>
      <c r="D184" s="98">
        <v>80</v>
      </c>
      <c r="E184" s="98">
        <v>22.1</v>
      </c>
      <c r="F184" s="98">
        <v>19</v>
      </c>
      <c r="G184" s="98"/>
      <c r="H184" s="98"/>
      <c r="I184" s="98"/>
    </row>
    <row r="185" spans="1:9" x14ac:dyDescent="0.3">
      <c r="A185" s="98" t="s">
        <v>1033</v>
      </c>
      <c r="B185" s="98" t="s">
        <v>1118</v>
      </c>
      <c r="C185" s="98" t="s">
        <v>934</v>
      </c>
      <c r="D185" s="98">
        <v>80</v>
      </c>
      <c r="E185" s="98">
        <v>46.6</v>
      </c>
      <c r="F185" s="98">
        <v>5.7</v>
      </c>
      <c r="G185" s="98"/>
      <c r="H185" s="98"/>
      <c r="I185" s="98"/>
    </row>
    <row r="186" spans="1:9" x14ac:dyDescent="0.3">
      <c r="A186" s="98" t="s">
        <v>1034</v>
      </c>
      <c r="B186" s="98" t="s">
        <v>1119</v>
      </c>
      <c r="C186" s="98" t="s">
        <v>934</v>
      </c>
      <c r="D186" s="98">
        <v>50</v>
      </c>
      <c r="E186" s="98">
        <v>40.299999999999997</v>
      </c>
      <c r="F186" s="98">
        <v>1.4</v>
      </c>
      <c r="G186" s="98"/>
      <c r="H186" s="98"/>
      <c r="I186" s="98"/>
    </row>
    <row r="187" spans="1:9" x14ac:dyDescent="0.3">
      <c r="A187" s="98" t="s">
        <v>1035</v>
      </c>
      <c r="B187" s="98" t="s">
        <v>1120</v>
      </c>
      <c r="C187" s="98" t="s">
        <v>934</v>
      </c>
      <c r="D187" s="98">
        <v>50</v>
      </c>
      <c r="E187" s="98">
        <v>24</v>
      </c>
      <c r="F187" s="98">
        <v>41.9</v>
      </c>
      <c r="G187" s="98"/>
      <c r="H187" s="98"/>
      <c r="I187" s="98"/>
    </row>
    <row r="188" spans="1:9" x14ac:dyDescent="0.3">
      <c r="A188" s="98" t="s">
        <v>1036</v>
      </c>
      <c r="B188" s="98" t="s">
        <v>1121</v>
      </c>
      <c r="C188" s="98" t="s">
        <v>934</v>
      </c>
      <c r="D188" s="98">
        <v>50</v>
      </c>
      <c r="E188" s="98">
        <v>60</v>
      </c>
      <c r="F188" s="98">
        <v>13.3</v>
      </c>
      <c r="G188" s="98"/>
      <c r="H188" s="98"/>
      <c r="I188" s="98"/>
    </row>
    <row r="189" spans="1:9" x14ac:dyDescent="0.3">
      <c r="A189" s="98" t="s">
        <v>1123</v>
      </c>
      <c r="B189" s="98" t="s">
        <v>1122</v>
      </c>
      <c r="C189" s="98" t="s">
        <v>934</v>
      </c>
      <c r="D189" s="98">
        <v>65</v>
      </c>
      <c r="E189" s="98">
        <v>59.7</v>
      </c>
      <c r="F189" s="98">
        <v>3.8</v>
      </c>
      <c r="G189" s="98"/>
      <c r="H189" s="98"/>
      <c r="I189" s="98"/>
    </row>
    <row r="190" spans="1:9" x14ac:dyDescent="0.3">
      <c r="A190" s="98" t="s">
        <v>1037</v>
      </c>
      <c r="B190" s="98" t="s">
        <v>1124</v>
      </c>
      <c r="C190" s="98" t="s">
        <v>934</v>
      </c>
      <c r="D190" s="98">
        <v>80</v>
      </c>
      <c r="E190" s="98">
        <v>42.5</v>
      </c>
      <c r="F190" s="98">
        <v>4.3</v>
      </c>
      <c r="G190" s="98"/>
      <c r="H190" s="98"/>
      <c r="I190" s="98"/>
    </row>
    <row r="191" spans="1:9" x14ac:dyDescent="0.3">
      <c r="A191" s="98" t="s">
        <v>1038</v>
      </c>
      <c r="B191" s="98" t="s">
        <v>1125</v>
      </c>
      <c r="C191" s="98" t="s">
        <v>934</v>
      </c>
      <c r="D191" s="98">
        <v>80</v>
      </c>
      <c r="E191" s="98">
        <v>13.4</v>
      </c>
      <c r="F191" s="98">
        <v>2.2999999999999998</v>
      </c>
      <c r="G191" s="98"/>
      <c r="H191" s="98"/>
      <c r="I191" s="98"/>
    </row>
    <row r="192" spans="1:9" x14ac:dyDescent="0.3">
      <c r="A192" s="98" t="s">
        <v>1039</v>
      </c>
      <c r="B192" s="98" t="s">
        <v>1126</v>
      </c>
      <c r="C192" s="98" t="s">
        <v>934</v>
      </c>
      <c r="D192" s="98">
        <v>80</v>
      </c>
      <c r="E192" s="98">
        <v>61.1</v>
      </c>
      <c r="F192" s="98">
        <v>1.7</v>
      </c>
      <c r="G192" s="98"/>
      <c r="H192" s="98"/>
      <c r="I192" s="98"/>
    </row>
    <row r="193" spans="1:9" x14ac:dyDescent="0.3">
      <c r="A193" s="98" t="s">
        <v>1040</v>
      </c>
      <c r="B193" s="98" t="s">
        <v>1127</v>
      </c>
      <c r="C193" s="98" t="s">
        <v>934</v>
      </c>
      <c r="D193" s="98">
        <v>80</v>
      </c>
      <c r="E193" s="98">
        <v>36.700000000000003</v>
      </c>
      <c r="F193" s="98">
        <v>4.5</v>
      </c>
      <c r="G193" s="98"/>
      <c r="H193" s="98"/>
      <c r="I193" s="98"/>
    </row>
    <row r="194" spans="1:9" x14ac:dyDescent="0.3">
      <c r="A194" s="98" t="s">
        <v>1041</v>
      </c>
      <c r="B194" s="98" t="s">
        <v>1128</v>
      </c>
      <c r="C194" s="98" t="s">
        <v>934</v>
      </c>
      <c r="D194" s="98">
        <v>80</v>
      </c>
      <c r="E194" s="98">
        <v>59.9</v>
      </c>
      <c r="F194" s="98">
        <v>3.2</v>
      </c>
      <c r="G194" s="98"/>
      <c r="H194" s="98"/>
      <c r="I194" s="98"/>
    </row>
    <row r="195" spans="1:9" x14ac:dyDescent="0.3">
      <c r="A195" s="98" t="s">
        <v>1042</v>
      </c>
      <c r="B195" s="98" t="s">
        <v>1129</v>
      </c>
      <c r="C195" s="98" t="s">
        <v>934</v>
      </c>
      <c r="D195" s="98">
        <v>80</v>
      </c>
      <c r="E195" s="98">
        <v>73</v>
      </c>
      <c r="F195" s="98">
        <v>1.6</v>
      </c>
      <c r="G195" s="98"/>
      <c r="H195" s="98"/>
      <c r="I195" s="98"/>
    </row>
  </sheetData>
  <mergeCells count="33">
    <mergeCell ref="W2:W3"/>
    <mergeCell ref="B41:I41"/>
    <mergeCell ref="Q2:R2"/>
    <mergeCell ref="S2:S3"/>
    <mergeCell ref="L121:S121"/>
    <mergeCell ref="U121:AB121"/>
    <mergeCell ref="L88:S88"/>
    <mergeCell ref="U88:AB88"/>
    <mergeCell ref="B65:I65"/>
    <mergeCell ref="B77:I77"/>
    <mergeCell ref="B88:I88"/>
    <mergeCell ref="L98:S98"/>
    <mergeCell ref="U98:AB98"/>
    <mergeCell ref="L111:S111"/>
    <mergeCell ref="U111:AB111"/>
    <mergeCell ref="B53:I53"/>
    <mergeCell ref="K2:K3"/>
    <mergeCell ref="L2:L3"/>
    <mergeCell ref="M2:M3"/>
    <mergeCell ref="O2:P2"/>
    <mergeCell ref="E1:L1"/>
    <mergeCell ref="N1:V1"/>
    <mergeCell ref="G2:H2"/>
    <mergeCell ref="I2:I3"/>
    <mergeCell ref="J2:J3"/>
    <mergeCell ref="T2:T3"/>
    <mergeCell ref="U2:U3"/>
    <mergeCell ref="V2:V3"/>
    <mergeCell ref="A2:A3"/>
    <mergeCell ref="B2:B3"/>
    <mergeCell ref="C2:C3"/>
    <mergeCell ref="D2:D3"/>
    <mergeCell ref="E2:F2"/>
  </mergeCells>
  <dataValidations count="1">
    <dataValidation allowBlank="1" showInputMessage="1" showErrorMessage="1" prompt="High- or low-producing cows that have calved at least once and are used principally for milk production" sqref="E2 L89 U89 L99 U99 L112 U112 L122 U122"/>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U433"/>
  <sheetViews>
    <sheetView zoomScaleNormal="100" workbookViewId="0">
      <selection activeCell="D8" sqref="D8"/>
    </sheetView>
  </sheetViews>
  <sheetFormatPr defaultRowHeight="14.4" x14ac:dyDescent="0.3"/>
  <cols>
    <col min="1" max="1" width="28.6640625" style="98" customWidth="1"/>
    <col min="2" max="2" width="50.88671875" customWidth="1"/>
    <col min="3" max="3" width="11" customWidth="1"/>
    <col min="4" max="4" width="12.6640625" customWidth="1"/>
    <col min="5" max="11" width="9.5546875" bestFit="1" customWidth="1"/>
  </cols>
  <sheetData>
    <row r="1" spans="1:21" x14ac:dyDescent="0.3">
      <c r="C1" s="298" t="s">
        <v>241</v>
      </c>
      <c r="D1" s="298"/>
      <c r="E1" s="298"/>
      <c r="F1" s="298"/>
      <c r="G1" s="298"/>
      <c r="H1" s="298"/>
      <c r="I1" s="298"/>
      <c r="J1" s="298"/>
      <c r="K1" s="298"/>
      <c r="M1" s="299" t="s">
        <v>276</v>
      </c>
      <c r="N1" s="299"/>
      <c r="O1" s="299"/>
      <c r="P1" s="299"/>
      <c r="Q1" s="299"/>
      <c r="R1" s="299"/>
      <c r="S1" s="299"/>
      <c r="T1" s="299"/>
      <c r="U1" s="299"/>
    </row>
    <row r="2" spans="1:21" x14ac:dyDescent="0.3">
      <c r="A2" s="205" t="s">
        <v>789</v>
      </c>
      <c r="C2" s="315" t="s">
        <v>223</v>
      </c>
      <c r="D2" s="316"/>
      <c r="E2" s="300" t="s">
        <v>253</v>
      </c>
      <c r="F2" s="301"/>
      <c r="G2" s="295" t="s">
        <v>254</v>
      </c>
      <c r="H2" s="295" t="s">
        <v>256</v>
      </c>
      <c r="I2" s="295" t="s">
        <v>257</v>
      </c>
      <c r="J2" s="295" t="s">
        <v>258</v>
      </c>
      <c r="K2" s="295" t="s">
        <v>259</v>
      </c>
      <c r="M2" s="296" t="s">
        <v>223</v>
      </c>
      <c r="N2" s="297"/>
      <c r="O2" s="304" t="s">
        <v>253</v>
      </c>
      <c r="P2" s="305"/>
      <c r="Q2" s="302" t="s">
        <v>254</v>
      </c>
      <c r="R2" s="302" t="s">
        <v>256</v>
      </c>
      <c r="S2" s="302" t="s">
        <v>257</v>
      </c>
      <c r="T2" s="302" t="s">
        <v>258</v>
      </c>
      <c r="U2" s="302" t="s">
        <v>259</v>
      </c>
    </row>
    <row r="3" spans="1:21" x14ac:dyDescent="0.3">
      <c r="A3" s="100" t="s">
        <v>784</v>
      </c>
      <c r="C3" s="120" t="s">
        <v>261</v>
      </c>
      <c r="D3" s="120" t="s">
        <v>260</v>
      </c>
      <c r="E3" s="120" t="s">
        <v>261</v>
      </c>
      <c r="F3" s="120" t="s">
        <v>260</v>
      </c>
      <c r="G3" s="295"/>
      <c r="H3" s="295"/>
      <c r="I3" s="295"/>
      <c r="J3" s="295"/>
      <c r="K3" s="295"/>
      <c r="M3" s="122" t="s">
        <v>261</v>
      </c>
      <c r="N3" s="122" t="s">
        <v>260</v>
      </c>
      <c r="O3" s="122" t="s">
        <v>261</v>
      </c>
      <c r="P3" s="122" t="s">
        <v>260</v>
      </c>
      <c r="Q3" s="302"/>
      <c r="R3" s="302"/>
      <c r="S3" s="302"/>
      <c r="T3" s="302"/>
      <c r="U3" s="302"/>
    </row>
    <row r="4" spans="1:21" x14ac:dyDescent="0.3">
      <c r="A4" s="98" t="s">
        <v>786</v>
      </c>
      <c r="B4" t="s">
        <v>280</v>
      </c>
      <c r="C4" s="91">
        <f>'Enteric Data'!E15</f>
        <v>191.04494944053437</v>
      </c>
      <c r="D4" s="91">
        <f>'Enteric Data'!F15</f>
        <v>81.736212523558933</v>
      </c>
      <c r="E4" s="91">
        <f>'Enteric Data'!G15</f>
        <v>95.656553840477912</v>
      </c>
      <c r="F4" s="91">
        <f>'Enteric Data'!H15</f>
        <v>61.328073002298595</v>
      </c>
      <c r="G4" s="91">
        <f>'Enteric Data'!I15</f>
        <v>88.547194713796145</v>
      </c>
      <c r="H4" s="91">
        <f>'Enteric Data'!J15</f>
        <v>80.930883867312971</v>
      </c>
      <c r="I4" s="91">
        <f>'Enteric Data'!K15</f>
        <v>66.107929318331799</v>
      </c>
      <c r="J4" s="91">
        <f>'Enteric Data'!L15</f>
        <v>63.987908481631592</v>
      </c>
      <c r="K4" s="91">
        <f>'Enteric Data'!M15</f>
        <v>129.89359850908423</v>
      </c>
      <c r="M4" s="91">
        <f>'Enteric Data'!O15</f>
        <v>191.04494944053437</v>
      </c>
      <c r="N4" s="91">
        <f>'Enteric Data'!P15</f>
        <v>81.736212523558933</v>
      </c>
      <c r="O4" s="91">
        <f>'Enteric Data'!Q15</f>
        <v>95.656553840477912</v>
      </c>
      <c r="P4" s="91">
        <f>'Enteric Data'!R15</f>
        <v>61.328073002298595</v>
      </c>
      <c r="Q4" s="91">
        <f>'Enteric Data'!S15</f>
        <v>88.547194713796145</v>
      </c>
      <c r="R4" s="91">
        <f>'Enteric Data'!T15</f>
        <v>80.930883867312971</v>
      </c>
      <c r="S4" s="91">
        <f>'Enteric Data'!U15</f>
        <v>66.107929318331799</v>
      </c>
      <c r="T4" s="91">
        <f>'Enteric Data'!V15</f>
        <v>63.987908481631592</v>
      </c>
      <c r="U4" s="91">
        <f>'Enteric Data'!W15</f>
        <v>129.89359850908423</v>
      </c>
    </row>
    <row r="5" spans="1:21" x14ac:dyDescent="0.3">
      <c r="A5" s="98" t="s">
        <v>786</v>
      </c>
      <c r="B5" t="s">
        <v>278</v>
      </c>
      <c r="C5" s="90">
        <f>'Enteric Data'!E16</f>
        <v>900</v>
      </c>
      <c r="D5" s="90">
        <f>'Enteric Data'!F16</f>
        <v>99.999999999999972</v>
      </c>
      <c r="E5" s="90">
        <f>'Enteric Data'!G16</f>
        <v>720</v>
      </c>
      <c r="F5" s="90">
        <f>'Enteric Data'!H16</f>
        <v>179.99999999999997</v>
      </c>
      <c r="G5" s="90">
        <f>'Enteric Data'!I16</f>
        <v>40</v>
      </c>
      <c r="H5" s="90">
        <f>'Enteric Data'!J16</f>
        <v>75</v>
      </c>
      <c r="I5" s="90">
        <f>'Enteric Data'!K16</f>
        <v>300</v>
      </c>
      <c r="J5" s="90">
        <f>'Enteric Data'!L16</f>
        <v>150</v>
      </c>
      <c r="K5" s="90">
        <f>'Enteric Data'!M16</f>
        <v>300</v>
      </c>
      <c r="M5">
        <f>'Enteric Data'!O16</f>
        <v>900</v>
      </c>
      <c r="N5">
        <f>'Enteric Data'!P16</f>
        <v>99.999999999999972</v>
      </c>
      <c r="O5">
        <f>'Enteric Data'!Q16</f>
        <v>720</v>
      </c>
      <c r="P5">
        <f>'Enteric Data'!R16</f>
        <v>179.99999999999997</v>
      </c>
      <c r="Q5" s="90">
        <f>'Enteric Data'!S16</f>
        <v>40</v>
      </c>
      <c r="R5" s="90">
        <f>'Enteric Data'!T16</f>
        <v>75</v>
      </c>
      <c r="S5" s="90">
        <f>'Enteric Data'!U16</f>
        <v>300</v>
      </c>
      <c r="T5" s="90">
        <f>'Enteric Data'!V16</f>
        <v>150</v>
      </c>
      <c r="U5" s="90">
        <f>'Enteric Data'!W16</f>
        <v>300</v>
      </c>
    </row>
    <row r="6" spans="1:21" x14ac:dyDescent="0.3">
      <c r="A6" s="98" t="s">
        <v>786</v>
      </c>
      <c r="B6" t="s">
        <v>225</v>
      </c>
      <c r="C6" s="91">
        <f>'Enteric Data'!E12</f>
        <v>72.5</v>
      </c>
      <c r="D6" s="91">
        <f>'Enteric Data'!F12</f>
        <v>72.5</v>
      </c>
      <c r="E6" s="91">
        <f>'Enteric Data'!G12</f>
        <v>72.5</v>
      </c>
      <c r="F6" s="91">
        <f>'Enteric Data'!H12</f>
        <v>72.5</v>
      </c>
      <c r="G6" s="91">
        <f>'Enteric Data'!I12</f>
        <v>80</v>
      </c>
      <c r="H6" s="91">
        <f>'Enteric Data'!J12</f>
        <v>65</v>
      </c>
      <c r="I6" s="91">
        <f>'Enteric Data'!K12</f>
        <v>80</v>
      </c>
      <c r="J6" s="91">
        <f>'Enteric Data'!L12</f>
        <v>80</v>
      </c>
      <c r="K6" s="91">
        <f>'Enteric Data'!M12</f>
        <v>80</v>
      </c>
      <c r="M6" s="91">
        <f>'Enteric Data'!O12</f>
        <v>72.5</v>
      </c>
      <c r="N6" s="91">
        <f>'Enteric Data'!P12</f>
        <v>72.5</v>
      </c>
      <c r="O6" s="91">
        <f>'Enteric Data'!Q12</f>
        <v>72.5</v>
      </c>
      <c r="P6" s="91">
        <f>'Enteric Data'!R12</f>
        <v>72.5</v>
      </c>
      <c r="Q6" s="91">
        <f>'Enteric Data'!S12</f>
        <v>80</v>
      </c>
      <c r="R6" s="91">
        <f>'Enteric Data'!T12</f>
        <v>65</v>
      </c>
      <c r="S6" s="91">
        <f>'Enteric Data'!U12</f>
        <v>80</v>
      </c>
      <c r="T6" s="91">
        <f>'Enteric Data'!V12</f>
        <v>80</v>
      </c>
      <c r="U6" s="91">
        <f>'Enteric Data'!W12</f>
        <v>80</v>
      </c>
    </row>
    <row r="7" spans="1:21" s="98" customFormat="1" x14ac:dyDescent="0.3">
      <c r="A7" s="98" t="s">
        <v>787</v>
      </c>
      <c r="B7" s="98" t="s">
        <v>279</v>
      </c>
      <c r="C7" s="116">
        <f>IF(AND(ENTERIC!C18&gt;85,ENTERIC!C19:C1602),0.02,0.04)</f>
        <v>0.04</v>
      </c>
      <c r="D7" s="116">
        <f>IF(AND(ENTERIC!D18&gt;85,ENTERIC!D19:D1602),0.02,0.04)</f>
        <v>0.04</v>
      </c>
      <c r="E7" s="116">
        <f>IF(AND(ENTERIC!E18&gt;85,ENTERIC!E19:E1602),0.02,0.04)</f>
        <v>0.04</v>
      </c>
      <c r="F7" s="116">
        <f>IF(AND(ENTERIC!F18&gt;85,ENTERIC!F19:F1602),0.02,0.04)</f>
        <v>0.04</v>
      </c>
      <c r="G7" s="116">
        <f>IF(AND(ENTERIC!G18&gt;85,ENTERIC!G19:G1602),0.02,0.04)</f>
        <v>0.04</v>
      </c>
      <c r="H7" s="116">
        <f>IF(AND(ENTERIC!H18&gt;85,ENTERIC!H19:H1602),0.02,0.04)</f>
        <v>0.04</v>
      </c>
      <c r="I7" s="116">
        <f>IF(AND(ENTERIC!I18&gt;85,ENTERIC!I19:I1602),0.02,0.04)</f>
        <v>0.04</v>
      </c>
      <c r="J7" s="116">
        <f>IF(AND(ENTERIC!J18&gt;85,ENTERIC!J19:J1602),0.02,0.04)</f>
        <v>0.04</v>
      </c>
      <c r="K7" s="116">
        <f>IF(AND(ENTERIC!K18&gt;85,ENTERIC!K19:K1602),0.02,0.04)</f>
        <v>0.04</v>
      </c>
      <c r="M7" s="116">
        <f>IF(AND(ENTERIC!M18&gt;85,ENTERIC!M19:M1602),0.02,0.04)</f>
        <v>0.04</v>
      </c>
      <c r="N7" s="116">
        <f>IF(AND(ENTERIC!N18&gt;85,ENTERIC!N19:N1602),0.02,0.04)</f>
        <v>0.04</v>
      </c>
      <c r="O7" s="116">
        <f>IF(AND(ENTERIC!O18&gt;85,ENTERIC!O19:O1602),0.02,0.04)</f>
        <v>0.04</v>
      </c>
      <c r="P7" s="116">
        <f>IF(AND(ENTERIC!P18&gt;85,ENTERIC!P19:P1602),0.02,0.04)</f>
        <v>0.04</v>
      </c>
      <c r="Q7" s="116">
        <f>IF(AND(ENTERIC!Q18&gt;85,ENTERIC!Q19:Q1602),0.02,0.04)</f>
        <v>0.04</v>
      </c>
      <c r="R7" s="116">
        <f>IF(AND(ENTERIC!R18&gt;85,ENTERIC!R19:R1602),0.02,0.04)</f>
        <v>0.04</v>
      </c>
      <c r="S7" s="116">
        <f>IF(AND(ENTERIC!S18&gt;85,ENTERIC!S19:S1602),0.02,0.04)</f>
        <v>0.04</v>
      </c>
      <c r="T7" s="116">
        <f>IF(AND(ENTERIC!T18&gt;85,ENTERIC!T19:T1602),0.02,0.04)</f>
        <v>0.04</v>
      </c>
      <c r="U7" s="116">
        <f>IF(AND(ENTERIC!U18&gt;85,ENTERIC!U19:U1602),0.02,0.04)</f>
        <v>0.04</v>
      </c>
    </row>
    <row r="8" spans="1:21" x14ac:dyDescent="0.3">
      <c r="A8" s="98" t="s">
        <v>785</v>
      </c>
      <c r="B8" t="s">
        <v>284</v>
      </c>
      <c r="C8" s="117">
        <f t="shared" ref="C8:K8" si="0">(C4*(1-(C6/100))+(C7*C4))*((1-0.08)/18.45)</f>
        <v>3.000803596090345</v>
      </c>
      <c r="D8" s="117">
        <f t="shared" si="0"/>
        <v>1.2838566064676087</v>
      </c>
      <c r="E8" s="117">
        <f t="shared" si="0"/>
        <v>1.5025078212992142</v>
      </c>
      <c r="F8" s="117">
        <f t="shared" si="0"/>
        <v>0.96329948813366584</v>
      </c>
      <c r="G8" s="117">
        <f t="shared" si="0"/>
        <v>1.0596867529976253</v>
      </c>
      <c r="H8" s="117">
        <f t="shared" si="0"/>
        <v>1.5738754000862816</v>
      </c>
      <c r="I8" s="117">
        <f t="shared" si="0"/>
        <v>0.79114530046003573</v>
      </c>
      <c r="J8" s="117">
        <f t="shared" si="0"/>
        <v>0.76577399418668035</v>
      </c>
      <c r="K8" s="117">
        <f t="shared" si="0"/>
        <v>1.5544990000436745</v>
      </c>
      <c r="L8" s="117"/>
      <c r="M8" s="117">
        <f t="shared" ref="M8:U8" si="1">(M4*(1-(M6/100))+(M7*M4))*((1-0.08)/18.45)</f>
        <v>3.000803596090345</v>
      </c>
      <c r="N8" s="117">
        <f t="shared" si="1"/>
        <v>1.2838566064676087</v>
      </c>
      <c r="O8" s="117">
        <f t="shared" si="1"/>
        <v>1.5025078212992142</v>
      </c>
      <c r="P8" s="117">
        <f t="shared" si="1"/>
        <v>0.96329948813366584</v>
      </c>
      <c r="Q8" s="117">
        <f t="shared" si="1"/>
        <v>1.0596867529976253</v>
      </c>
      <c r="R8" s="117">
        <f t="shared" si="1"/>
        <v>1.5738754000862816</v>
      </c>
      <c r="S8" s="117">
        <f t="shared" si="1"/>
        <v>0.79114530046003573</v>
      </c>
      <c r="T8" s="117">
        <f t="shared" si="1"/>
        <v>0.76577399418668035</v>
      </c>
      <c r="U8" s="117">
        <f t="shared" si="1"/>
        <v>1.5544990000436745</v>
      </c>
    </row>
    <row r="9" spans="1:21" x14ac:dyDescent="0.3">
      <c r="B9" s="126" t="s">
        <v>281</v>
      </c>
      <c r="C9" s="130">
        <f>LOOKUP(MANURE!$B$10,'Manure Data'!$B$61:$B$69,'Manure Data'!$C$61:$C$69)</f>
        <v>0.24</v>
      </c>
      <c r="D9" s="130">
        <f>LOOKUP(MANURE!$B$10,'Manure Data'!$B$61:$B$69,'Manure Data'!$C$61:$C$69)</f>
        <v>0.24</v>
      </c>
      <c r="E9" s="130">
        <f>LOOKUP(MANURE!$B$10,'Manure Data'!$B$61:$B$69,'Manure Data'!$C$61:$C$69)</f>
        <v>0.24</v>
      </c>
      <c r="F9" s="130">
        <f>LOOKUP(MANURE!$B$10,'Manure Data'!$B$61:$B$69,'Manure Data'!$C$61:$C$69)</f>
        <v>0.24</v>
      </c>
      <c r="G9" s="130">
        <f>LOOKUP(MANURE!$B$10,'Manure Data'!$B$61:$B$69,'Manure Data'!$D$61:$D$69)</f>
        <v>0.19</v>
      </c>
      <c r="H9" s="130">
        <f>LOOKUP(MANURE!$B$10,'Manure Data'!$B$61:$B$69,'Manure Data'!$D$61:$D$69)</f>
        <v>0.19</v>
      </c>
      <c r="I9" s="130">
        <f>LOOKUP(MANURE!$B$10,'Manure Data'!$B$61:$B$69,'Manure Data'!$D$61:$D$69)</f>
        <v>0.19</v>
      </c>
      <c r="J9" s="130">
        <f>LOOKUP(MANURE!$B$10,'Manure Data'!$B$61:$B$69,'Manure Data'!$D$61:$D$69)</f>
        <v>0.19</v>
      </c>
      <c r="K9" s="130">
        <f>LOOKUP(MANURE!$B$10,'Manure Data'!$B$61:$B$69,'Manure Data'!$D$61:$D$69)</f>
        <v>0.19</v>
      </c>
      <c r="L9" s="126"/>
      <c r="M9" s="130">
        <f>LOOKUP(MANURE!$B$10,'Manure Data'!$B$61:$B$69,'Manure Data'!$C$61:$C$69)</f>
        <v>0.24</v>
      </c>
      <c r="N9" s="130">
        <f>LOOKUP(MANURE!$B$10,'Manure Data'!$B$61:$B$69,'Manure Data'!$C$61:$C$69)</f>
        <v>0.24</v>
      </c>
      <c r="O9" s="130">
        <f>LOOKUP(MANURE!$B$10,'Manure Data'!$B$61:$B$69,'Manure Data'!$C$61:$C$69)</f>
        <v>0.24</v>
      </c>
      <c r="P9" s="130">
        <f>LOOKUP(MANURE!$B$10,'Manure Data'!$B$61:$B$69,'Manure Data'!$C$61:$C$69)</f>
        <v>0.24</v>
      </c>
      <c r="Q9" s="130">
        <f>LOOKUP(MANURE!$B$10,'Manure Data'!$B$61:$B$69,'Manure Data'!$D$61:$D$69)</f>
        <v>0.19</v>
      </c>
      <c r="R9" s="130">
        <f>LOOKUP(MANURE!$B$10,'Manure Data'!$B$61:$B$69,'Manure Data'!$D$61:$D$69)</f>
        <v>0.19</v>
      </c>
      <c r="S9" s="130">
        <f>LOOKUP(MANURE!$B$10,'Manure Data'!$B$61:$B$69,'Manure Data'!$D$61:$D$69)</f>
        <v>0.19</v>
      </c>
      <c r="T9" s="130">
        <f>LOOKUP(MANURE!$B$10,'Manure Data'!$B$61:$B$69,'Manure Data'!$D$61:$D$69)</f>
        <v>0.19</v>
      </c>
      <c r="U9" s="130">
        <f>LOOKUP(MANURE!$B$10,'Manure Data'!$B$61:$B$69,'Manure Data'!$D$61:$D$69)</f>
        <v>0.19</v>
      </c>
    </row>
    <row r="10" spans="1:21" s="98" customFormat="1" x14ac:dyDescent="0.3">
      <c r="A10" s="98" t="s">
        <v>788</v>
      </c>
      <c r="B10" s="126" t="s">
        <v>589</v>
      </c>
      <c r="C10" s="257">
        <f t="shared" ref="C10:K10" si="2">(C8*365)*(C9*0.67*$E$55)</f>
        <v>7.0449265864693817</v>
      </c>
      <c r="D10" s="257">
        <f t="shared" si="2"/>
        <v>3.0140844778718758</v>
      </c>
      <c r="E10" s="257">
        <f t="shared" si="2"/>
        <v>3.5274075619077392</v>
      </c>
      <c r="F10" s="257">
        <f t="shared" si="2"/>
        <v>2.2615189423016449</v>
      </c>
      <c r="G10" s="257">
        <f t="shared" si="2"/>
        <v>1.9695126053863266</v>
      </c>
      <c r="H10" s="257">
        <f t="shared" si="2"/>
        <v>2.925173341092361</v>
      </c>
      <c r="I10" s="257">
        <f t="shared" si="2"/>
        <v>1.4704068325290132</v>
      </c>
      <c r="J10" s="257">
        <f t="shared" si="2"/>
        <v>1.4232522301154804</v>
      </c>
      <c r="K10" s="257">
        <f t="shared" si="2"/>
        <v>2.8891607515011728</v>
      </c>
      <c r="L10" s="130"/>
      <c r="M10" s="130">
        <f t="shared" ref="M10:U10" si="3">(M8*365)*(M9*0.67*$G$55)</f>
        <v>5.2836949398520368</v>
      </c>
      <c r="N10" s="130">
        <f t="shared" si="3"/>
        <v>2.2605633584039069</v>
      </c>
      <c r="O10" s="130">
        <f t="shared" si="3"/>
        <v>2.6455556714308042</v>
      </c>
      <c r="P10" s="130">
        <f t="shared" si="3"/>
        <v>1.6961392067262335</v>
      </c>
      <c r="Q10" s="130">
        <f t="shared" si="3"/>
        <v>1.4771344540397449</v>
      </c>
      <c r="R10" s="130">
        <f t="shared" si="3"/>
        <v>2.1938800058192705</v>
      </c>
      <c r="S10" s="130">
        <f t="shared" si="3"/>
        <v>1.1028051243967598</v>
      </c>
      <c r="T10" s="130">
        <f t="shared" si="3"/>
        <v>1.0674391725866101</v>
      </c>
      <c r="U10" s="130">
        <f t="shared" si="3"/>
        <v>2.1668705636258796</v>
      </c>
    </row>
    <row r="11" spans="1:21" s="98" customFormat="1" x14ac:dyDescent="0.3">
      <c r="B11" s="126" t="s">
        <v>590</v>
      </c>
      <c r="C11" s="131">
        <f t="shared" ref="C11:K11" si="4">C10*C5</f>
        <v>6340.4339278224434</v>
      </c>
      <c r="D11" s="131">
        <f t="shared" si="4"/>
        <v>301.40844778718747</v>
      </c>
      <c r="E11" s="131">
        <f t="shared" si="4"/>
        <v>2539.7334445735723</v>
      </c>
      <c r="F11" s="131">
        <f t="shared" si="4"/>
        <v>407.073409614296</v>
      </c>
      <c r="G11" s="131">
        <f t="shared" si="4"/>
        <v>78.780504215453064</v>
      </c>
      <c r="H11" s="131">
        <f t="shared" si="4"/>
        <v>219.38800058192709</v>
      </c>
      <c r="I11" s="131">
        <f t="shared" si="4"/>
        <v>441.12204975870395</v>
      </c>
      <c r="J11" s="131">
        <f t="shared" si="4"/>
        <v>213.48783451732206</v>
      </c>
      <c r="K11" s="131">
        <f t="shared" si="4"/>
        <v>866.74822545035181</v>
      </c>
      <c r="L11" s="126"/>
      <c r="M11" s="131">
        <f t="shared" ref="M11:U11" si="5">M10*M5</f>
        <v>4755.3254458668334</v>
      </c>
      <c r="N11" s="131">
        <f t="shared" si="5"/>
        <v>226.05633584039063</v>
      </c>
      <c r="O11" s="131">
        <f t="shared" si="5"/>
        <v>1904.800083430179</v>
      </c>
      <c r="P11" s="131">
        <f t="shared" si="5"/>
        <v>305.305057210722</v>
      </c>
      <c r="Q11" s="131">
        <f t="shared" si="5"/>
        <v>59.085378161589794</v>
      </c>
      <c r="R11" s="131">
        <f t="shared" si="5"/>
        <v>164.54100043644527</v>
      </c>
      <c r="S11" s="131">
        <f t="shared" si="5"/>
        <v>330.84153731902796</v>
      </c>
      <c r="T11" s="131">
        <f t="shared" si="5"/>
        <v>160.11587588799154</v>
      </c>
      <c r="U11" s="131">
        <f t="shared" si="5"/>
        <v>650.06116908776391</v>
      </c>
    </row>
    <row r="12" spans="1:21" s="98" customFormat="1" x14ac:dyDescent="0.3">
      <c r="B12" s="100" t="s">
        <v>591</v>
      </c>
      <c r="C12" s="89">
        <f>(SUM(C11:K11)/1000)*21</f>
        <v>239.57169273074635</v>
      </c>
      <c r="D12" s="131"/>
      <c r="E12" s="131"/>
      <c r="F12" s="131"/>
      <c r="G12" s="131"/>
      <c r="H12" s="131"/>
      <c r="I12" s="131"/>
      <c r="J12" s="131"/>
      <c r="K12" s="131"/>
      <c r="L12" s="126"/>
      <c r="M12" s="89">
        <f>(SUM(M11:U11)/1000)*21</f>
        <v>179.67876954805982</v>
      </c>
      <c r="N12" s="131"/>
      <c r="O12" s="131"/>
      <c r="P12" s="131"/>
      <c r="Q12" s="131"/>
      <c r="R12" s="131"/>
      <c r="S12" s="131"/>
      <c r="T12" s="131"/>
      <c r="U12" s="131"/>
    </row>
    <row r="13" spans="1:21" s="98" customFormat="1" x14ac:dyDescent="0.3">
      <c r="A13" s="205" t="s">
        <v>790</v>
      </c>
      <c r="B13" s="126"/>
      <c r="C13" s="103"/>
      <c r="M13" s="103"/>
    </row>
    <row r="14" spans="1:21" s="98" customFormat="1" x14ac:dyDescent="0.3">
      <c r="B14" s="126" t="s">
        <v>592</v>
      </c>
      <c r="C14" s="131">
        <f>ENTERIC!C22</f>
        <v>600</v>
      </c>
      <c r="D14" s="90">
        <f>ENTERIC!C22</f>
        <v>600</v>
      </c>
      <c r="E14" s="90">
        <f>ENTERIC!D22</f>
        <v>500</v>
      </c>
      <c r="F14" s="90">
        <f>ENTERIC!D22</f>
        <v>500</v>
      </c>
      <c r="G14" s="90">
        <f>ENTERIC!E22</f>
        <v>800</v>
      </c>
      <c r="H14" s="90">
        <f>ENTERIC!G22</f>
        <v>185</v>
      </c>
      <c r="I14" s="90">
        <f>ENTERIC!H22</f>
        <v>265</v>
      </c>
      <c r="J14" s="90">
        <f>ENTERIC!I22</f>
        <v>375</v>
      </c>
      <c r="K14" s="90">
        <f>ENTERIC!J22</f>
        <v>415</v>
      </c>
      <c r="M14" s="131">
        <f>ENTERIC!L22</f>
        <v>600</v>
      </c>
      <c r="N14" s="90">
        <f>ENTERIC!L22</f>
        <v>600</v>
      </c>
      <c r="O14" s="90">
        <f>ENTERIC!M22</f>
        <v>500</v>
      </c>
      <c r="P14" s="90">
        <f>ENTERIC!M22</f>
        <v>500</v>
      </c>
      <c r="Q14" s="90">
        <f>ENTERIC!N22</f>
        <v>800</v>
      </c>
      <c r="R14" s="90">
        <f>ENTERIC!P22</f>
        <v>185</v>
      </c>
      <c r="S14" s="90">
        <f>ENTERIC!Q22</f>
        <v>265</v>
      </c>
      <c r="T14" s="90">
        <f>ENTERIC!R22</f>
        <v>375</v>
      </c>
      <c r="U14" s="90">
        <f>ENTERIC!S22</f>
        <v>415</v>
      </c>
    </row>
    <row r="15" spans="1:21" s="98" customFormat="1" x14ac:dyDescent="0.3">
      <c r="B15" s="126" t="s">
        <v>679</v>
      </c>
      <c r="C15" s="130">
        <f>LOOKUP(MANURE!$B$10,'Manure Data'!$B$61:$B$69,'Manure Data'!$E$61:$E$69)</f>
        <v>0.44</v>
      </c>
      <c r="D15" s="130">
        <f>LOOKUP(MANURE!$B$10,'Manure Data'!$B$61:$B$69,'Manure Data'!$E$61:$E$69)</f>
        <v>0.44</v>
      </c>
      <c r="E15" s="130">
        <f>LOOKUP(MANURE!$B$10,'Manure Data'!$B$61:$B$69,'Manure Data'!$E$61:$E$69)</f>
        <v>0.44</v>
      </c>
      <c r="F15" s="130">
        <f>LOOKUP(MANURE!$B$10,'Manure Data'!$B$61:$B$69,'Manure Data'!$E$61:$E$69)</f>
        <v>0.44</v>
      </c>
      <c r="G15" s="130">
        <f>LOOKUP(MANURE!$B$10,'Manure Data'!$B$61:$B$69,'Manure Data'!$F$61:$F$69)</f>
        <v>0.31</v>
      </c>
      <c r="H15" s="130">
        <f>LOOKUP(MANURE!$B$10,'Manure Data'!$B$61:$B$69,'Manure Data'!$F$61:$F$69)</f>
        <v>0.31</v>
      </c>
      <c r="I15" s="130">
        <f>LOOKUP(MANURE!$B$10,'Manure Data'!$B$61:$B$69,'Manure Data'!$F$61:$F$69)</f>
        <v>0.31</v>
      </c>
      <c r="J15" s="130">
        <f>LOOKUP(MANURE!$B$10,'Manure Data'!$B$61:$B$69,'Manure Data'!$F$61:$F$69)</f>
        <v>0.31</v>
      </c>
      <c r="K15" s="130">
        <f>LOOKUP(MANURE!$B$10,'Manure Data'!$B$61:$B$69,'Manure Data'!$F$61:$F$69)</f>
        <v>0.31</v>
      </c>
      <c r="L15" s="126"/>
      <c r="M15" s="130">
        <f>LOOKUP(MANURE!$B$10,'Manure Data'!$B$61:$B$69,'Manure Data'!$E$61:$E$69)</f>
        <v>0.44</v>
      </c>
      <c r="N15" s="130">
        <f>LOOKUP(MANURE!$B$10,'Manure Data'!$B$61:$B$69,'Manure Data'!$E$61:$E$69)</f>
        <v>0.44</v>
      </c>
      <c r="O15" s="130">
        <f>LOOKUP(MANURE!$B$10,'Manure Data'!$B$61:$B$69,'Manure Data'!$E$61:$E$69)</f>
        <v>0.44</v>
      </c>
      <c r="P15" s="130">
        <f>LOOKUP(MANURE!$B$10,'Manure Data'!$B$61:$B$69,'Manure Data'!$E$61:$E$69)</f>
        <v>0.44</v>
      </c>
      <c r="Q15" s="130">
        <f>LOOKUP(MANURE!$B$10,'Manure Data'!$B$61:$B$69,'Manure Data'!$F$61:$F$69)</f>
        <v>0.31</v>
      </c>
      <c r="R15" s="130">
        <f>LOOKUP(MANURE!$B$10,'Manure Data'!$B$61:$B$69,'Manure Data'!$F$61:$F$69)</f>
        <v>0.31</v>
      </c>
      <c r="S15" s="130">
        <f>LOOKUP(MANURE!$B$10,'Manure Data'!$B$61:$B$69,'Manure Data'!$F$61:$F$69)</f>
        <v>0.31</v>
      </c>
      <c r="T15" s="130">
        <f>LOOKUP(MANURE!$B$10,'Manure Data'!$B$61:$B$69,'Manure Data'!$F$61:$F$69)</f>
        <v>0.31</v>
      </c>
      <c r="U15" s="130">
        <f>LOOKUP(MANURE!$B$10,'Manure Data'!$B$61:$B$69,'Manure Data'!$F$61:$F$69)</f>
        <v>0.31</v>
      </c>
    </row>
    <row r="16" spans="1:21" s="98" customFormat="1" x14ac:dyDescent="0.3">
      <c r="B16" s="126" t="s">
        <v>687</v>
      </c>
      <c r="C16" s="131">
        <f>C15*(C14/1000)*365</f>
        <v>96.36</v>
      </c>
      <c r="D16" s="131">
        <f t="shared" ref="D16:K16" si="6">D15*(D14/1000)*365</f>
        <v>96.36</v>
      </c>
      <c r="E16" s="131">
        <f t="shared" si="6"/>
        <v>80.3</v>
      </c>
      <c r="F16" s="131">
        <f t="shared" si="6"/>
        <v>80.3</v>
      </c>
      <c r="G16" s="131">
        <f t="shared" si="6"/>
        <v>90.52</v>
      </c>
      <c r="H16" s="131">
        <f t="shared" si="6"/>
        <v>20.932749999999999</v>
      </c>
      <c r="I16" s="131">
        <f t="shared" si="6"/>
        <v>29.984750000000002</v>
      </c>
      <c r="J16" s="131">
        <f t="shared" si="6"/>
        <v>42.431249999999999</v>
      </c>
      <c r="K16" s="131">
        <f t="shared" si="6"/>
        <v>46.957249999999995</v>
      </c>
      <c r="L16" s="126"/>
      <c r="M16" s="131">
        <f t="shared" ref="M16:U16" si="7">M15*(M14/1000)*365</f>
        <v>96.36</v>
      </c>
      <c r="N16" s="131">
        <f t="shared" si="7"/>
        <v>96.36</v>
      </c>
      <c r="O16" s="131">
        <f t="shared" si="7"/>
        <v>80.3</v>
      </c>
      <c r="P16" s="131">
        <f t="shared" si="7"/>
        <v>80.3</v>
      </c>
      <c r="Q16" s="131">
        <f t="shared" si="7"/>
        <v>90.52</v>
      </c>
      <c r="R16" s="131">
        <f t="shared" si="7"/>
        <v>20.932749999999999</v>
      </c>
      <c r="S16" s="131">
        <f t="shared" si="7"/>
        <v>29.984750000000002</v>
      </c>
      <c r="T16" s="131">
        <f t="shared" si="7"/>
        <v>42.431249999999999</v>
      </c>
      <c r="U16" s="131">
        <f t="shared" si="7"/>
        <v>46.957249999999995</v>
      </c>
    </row>
    <row r="17" spans="1:21" s="98" customFormat="1" x14ac:dyDescent="0.3">
      <c r="B17" s="126" t="s">
        <v>680</v>
      </c>
      <c r="C17" s="131">
        <f>(C5*C16*$I$35*$H$35)+(C5*C16*$I$36*$H$36)+(C5*C16*$I$37*$H$37)+(C5*C16*$I$38*$H$38)+(C5*C16*$I$39*$H$39)+(C5*C16*$I$40*$H$40)+(C5*C16*$I$41*$H$41)+(C5*C16*$I$42*$H$42)+(C5*C16*$I$43*$H$43)+(C5*C16*$I$44*$H$44)+(C5*C16*$I$45*$H$45)+(C5*C16*$I$46*$H$46)+(C5*C16*$I$47*$H$47)+(C5*C16*$I$48*$H$48)+(C5*C16*$I$49*$H$49)+(C5*C16*$I$50*$H$50)+(C5*C16*$I$51*$H$51)+(C5*C16*$I$52*$H$52)+(C5*C16*$I$53*$H$53)+(C5*C16*$I$54*$H$54)</f>
        <v>433.62</v>
      </c>
      <c r="D17" s="131">
        <f t="shared" ref="D17:K17" si="8">(D5*D16*$I$35*$H$35)+(D5*D16*$I$36*$H$36)+(D5*D16*$I$37*$H$37)+(D5*D16*$I$38*$H$38)+(D5*D16*$I$39*$H$39)+(D5*D16*$I$40*$H$40)+(D5*D16*$I$41*$H$41)+(D5*D16*$I$42*$H$42)+(D5*D16*$I$43*$H$43)+(D5*D16*$I$44*$H$44)+(D5*D16*$I$45*$H$45)+(D5*D16*$I$46*$H$46)+(D5*D16*$I$47*$H$47)+(D5*D16*$I$48*$H$48)+(D5*D16*$I$49*$H$49)+(D5*D16*$I$50*$H$50)+(D5*D16*$I$51*$H$51)+(D5*D16*$I$52*$H$52)+(D5*D16*$I$53*$H$53)+(D5*D16*$I$54*$H$54)</f>
        <v>48.179999999999986</v>
      </c>
      <c r="E17" s="131">
        <f t="shared" si="8"/>
        <v>289.08</v>
      </c>
      <c r="F17" s="131">
        <f t="shared" si="8"/>
        <v>72.269999999999982</v>
      </c>
      <c r="G17" s="131">
        <f t="shared" si="8"/>
        <v>18.103999999999999</v>
      </c>
      <c r="H17" s="131">
        <f t="shared" si="8"/>
        <v>7.8497812500000004</v>
      </c>
      <c r="I17" s="131">
        <f t="shared" si="8"/>
        <v>44.977125000000008</v>
      </c>
      <c r="J17" s="131">
        <f t="shared" si="8"/>
        <v>31.823437500000001</v>
      </c>
      <c r="K17" s="131">
        <f t="shared" si="8"/>
        <v>70.435874999999996</v>
      </c>
      <c r="L17" s="126"/>
      <c r="M17" s="131">
        <f t="shared" ref="M17:U17" si="9">(M5*M16*$J$35*$H$35)+(M5*M16*$J$36*$H$36)+(M5*M16*$J$37*$H$37)+(M5*M16*$J$38*$H$38)+(M5*M16*$J$39*$H$39)+(M5*M16*$J$40*$H$40)+(M5*M16*$J$41*$H$41)+(M5*M16*$J$42*$H$42)+(M5*M16*$J$43*$H$43)+(M5*M16*$J$44*$H$44)+(M5*M16*$J$45*$H$45)+(M5*M16*$J$46*$H$46)+(M5*M16*$J$47*$H$47)+(M5*M16*$J$48*$H$48)+(M5*M16*$J$49*$H$49)+(M5*M16*$J$50*$H$50)+(M5*M16*$J$51*$H$51)+(M5*M16*$J$52*$H$52)+(M5*M16*$J$53*$H$53)+(M5*M16*$J$54*$H$54)</f>
        <v>173.44800000000001</v>
      </c>
      <c r="N17" s="131">
        <f t="shared" si="9"/>
        <v>19.271999999999991</v>
      </c>
      <c r="O17" s="131">
        <f t="shared" si="9"/>
        <v>115.63200000000001</v>
      </c>
      <c r="P17" s="131">
        <f t="shared" si="9"/>
        <v>28.907999999999994</v>
      </c>
      <c r="Q17" s="131">
        <f t="shared" si="9"/>
        <v>7.2416</v>
      </c>
      <c r="R17" s="131">
        <f t="shared" si="9"/>
        <v>3.1399124999999999</v>
      </c>
      <c r="S17" s="131">
        <f t="shared" si="9"/>
        <v>17.990850000000002</v>
      </c>
      <c r="T17" s="131">
        <f t="shared" si="9"/>
        <v>12.729375000000001</v>
      </c>
      <c r="U17" s="131">
        <f t="shared" si="9"/>
        <v>28.17435</v>
      </c>
    </row>
    <row r="18" spans="1:21" s="98" customFormat="1" x14ac:dyDescent="0.3">
      <c r="B18" s="126" t="s">
        <v>681</v>
      </c>
      <c r="C18" s="131">
        <f>C17*(44/28)</f>
        <v>681.4028571428571</v>
      </c>
      <c r="D18" s="131">
        <f t="shared" ref="D18:K18" si="10">D17*(44/28)</f>
        <v>75.711428571428542</v>
      </c>
      <c r="E18" s="131">
        <f t="shared" si="10"/>
        <v>454.26857142857142</v>
      </c>
      <c r="F18" s="131">
        <f t="shared" si="10"/>
        <v>113.56714285714283</v>
      </c>
      <c r="G18" s="131">
        <f t="shared" si="10"/>
        <v>28.449142857142856</v>
      </c>
      <c r="H18" s="131">
        <f t="shared" si="10"/>
        <v>12.335370535714286</v>
      </c>
      <c r="I18" s="131">
        <f t="shared" si="10"/>
        <v>70.678339285714301</v>
      </c>
      <c r="J18" s="131">
        <f t="shared" si="10"/>
        <v>50.008258928571429</v>
      </c>
      <c r="K18" s="131">
        <f t="shared" si="10"/>
        <v>110.68494642857142</v>
      </c>
      <c r="L18" s="126"/>
      <c r="M18" s="131">
        <f t="shared" ref="M18:U18" si="11">M17*(44/28)</f>
        <v>272.56114285714284</v>
      </c>
      <c r="N18" s="131">
        <f t="shared" si="11"/>
        <v>30.284571428571414</v>
      </c>
      <c r="O18" s="131">
        <f t="shared" si="11"/>
        <v>181.70742857142858</v>
      </c>
      <c r="P18" s="131">
        <f t="shared" si="11"/>
        <v>45.426857142857131</v>
      </c>
      <c r="Q18" s="131">
        <f t="shared" si="11"/>
        <v>11.379657142857143</v>
      </c>
      <c r="R18" s="131">
        <f t="shared" si="11"/>
        <v>4.934148214285714</v>
      </c>
      <c r="S18" s="131">
        <f t="shared" si="11"/>
        <v>28.271335714285716</v>
      </c>
      <c r="T18" s="131">
        <f t="shared" si="11"/>
        <v>20.003303571428571</v>
      </c>
      <c r="U18" s="131">
        <f t="shared" si="11"/>
        <v>44.273978571428572</v>
      </c>
    </row>
    <row r="19" spans="1:21" s="98" customFormat="1" x14ac:dyDescent="0.3">
      <c r="B19" s="126" t="s">
        <v>682</v>
      </c>
      <c r="C19" s="103">
        <f t="shared" ref="C19:K19" si="12">(C18/1000)*310</f>
        <v>211.2348857142857</v>
      </c>
      <c r="D19" s="103">
        <f t="shared" si="12"/>
        <v>23.470542857142849</v>
      </c>
      <c r="E19" s="103">
        <f t="shared" si="12"/>
        <v>140.82325714285713</v>
      </c>
      <c r="F19" s="103">
        <f t="shared" si="12"/>
        <v>35.205814285714276</v>
      </c>
      <c r="G19" s="103">
        <f t="shared" si="12"/>
        <v>8.8192342857142858</v>
      </c>
      <c r="H19" s="103">
        <f t="shared" si="12"/>
        <v>3.8239648660714289</v>
      </c>
      <c r="I19" s="103">
        <f t="shared" si="12"/>
        <v>21.910285178571435</v>
      </c>
      <c r="J19" s="103">
        <f t="shared" si="12"/>
        <v>15.502560267857143</v>
      </c>
      <c r="K19" s="103">
        <f t="shared" si="12"/>
        <v>34.312333392857141</v>
      </c>
      <c r="M19" s="103">
        <f t="shared" ref="M19:U19" si="13">(M18/1000)*310</f>
        <v>84.493954285714281</v>
      </c>
      <c r="N19" s="103">
        <f t="shared" si="13"/>
        <v>9.3882171428571386</v>
      </c>
      <c r="O19" s="103">
        <f t="shared" si="13"/>
        <v>56.329302857142856</v>
      </c>
      <c r="P19" s="103">
        <f t="shared" si="13"/>
        <v>14.082325714285711</v>
      </c>
      <c r="Q19" s="103">
        <f t="shared" si="13"/>
        <v>3.5276937142857143</v>
      </c>
      <c r="R19" s="103">
        <f t="shared" si="13"/>
        <v>1.5295859464285715</v>
      </c>
      <c r="S19" s="103">
        <f t="shared" si="13"/>
        <v>8.7641140714285726</v>
      </c>
      <c r="T19" s="103">
        <f t="shared" si="13"/>
        <v>6.2010241071428567</v>
      </c>
      <c r="U19" s="103">
        <f t="shared" si="13"/>
        <v>13.724933357142856</v>
      </c>
    </row>
    <row r="20" spans="1:21" s="98" customFormat="1" x14ac:dyDescent="0.3">
      <c r="B20" s="126"/>
      <c r="C20" s="103"/>
      <c r="D20" s="103"/>
      <c r="E20" s="103"/>
      <c r="F20" s="103"/>
      <c r="G20" s="103"/>
      <c r="H20" s="103"/>
      <c r="I20" s="103"/>
      <c r="J20" s="103"/>
      <c r="K20" s="103"/>
      <c r="M20" s="103"/>
      <c r="N20" s="103"/>
      <c r="O20" s="103"/>
      <c r="P20" s="103"/>
      <c r="Q20" s="103"/>
      <c r="R20" s="103"/>
      <c r="S20" s="103"/>
      <c r="T20" s="103"/>
      <c r="U20" s="103"/>
    </row>
    <row r="21" spans="1:21" s="98" customFormat="1" x14ac:dyDescent="0.3">
      <c r="B21" s="100" t="s">
        <v>683</v>
      </c>
      <c r="C21" s="89">
        <f>SUM(C19:K19)</f>
        <v>495.1028779910713</v>
      </c>
      <c r="D21" s="103"/>
      <c r="E21" s="103"/>
      <c r="F21" s="103"/>
      <c r="G21" s="103"/>
      <c r="H21" s="103"/>
      <c r="I21" s="103"/>
      <c r="J21" s="103"/>
      <c r="K21" s="103"/>
      <c r="M21" s="89">
        <f>SUM(M19:U19)</f>
        <v>198.04115119642853</v>
      </c>
      <c r="N21" s="103"/>
      <c r="O21" s="103"/>
      <c r="P21" s="103"/>
      <c r="Q21" s="103"/>
      <c r="R21" s="103"/>
      <c r="S21" s="103"/>
      <c r="T21" s="103"/>
      <c r="U21" s="103"/>
    </row>
    <row r="22" spans="1:21" s="98" customFormat="1" x14ac:dyDescent="0.3">
      <c r="B22" s="126" t="s">
        <v>688</v>
      </c>
      <c r="C22" s="131">
        <f>(C5*C16*$I$35*$K$35)+(C5*C16*$I$36*$K$36)+(C5*C16*$I$37*$K$37)+(C5*C16*$I$38*$K$38)+(C5*C16*$I$39*$K$39)+(C5*C16*$I$40*$K$40)+(C5*C16*$I$41*$K$41)+(C5*C16*$I$42*$K$42)+(C5*C16*$I$43*$K$43)+(C5*C16*$I$44*$K$44)+(C5*C16*$I$44*$K$44)+(C5*C16*$I$45*$K$45)+(C5*C16*$I$46*$K$46)+(C5*C16*$I$47*$K$47)+(C5*C16*$I$48*$K$48)+(C5*C16*$I$49*$K$49)+(C5*C16*$I$50*$K$50)+(C5*C16*$I$51*$K$51)+(C5*C16*$I$52*$K$52)+(C5*C16*$I$53*$K$53)+(C5*C16*$I$54*$K$54)</f>
        <v>26017.200000000001</v>
      </c>
      <c r="D22" s="131">
        <f>(D5*D16*$I$35*$K$35)+(D5*D16*$I$36*$K$36)+(D5*D16*$I$37*$K$37)+(D5*D16*$I$38*$K$38)+(D5*D16*$I$39*$K$39)+(D5*D16*$I$40*$K$40)+(D5*D16*$I$41*$K$41)+(D5*D16*$I$42*$K$42)+(D5*D16*$I$43*$K$43)+(D5*D16*$I$44*$K$44)+(D5*D16*$I$44*$K$44)+(D5*D16*$I$45*$K$45)+(D5*D16*$I$46*$K$46)+(D5*D16*$I$47*$K$47)+(D5*D16*$I$48*$K$48)+(D5*D16*$I$49*$K$49)+(D5*D16*$I$50*$K$50)+(D5*D16*$I$51*$K$51)+(D5*D16*$I$52*$K$52)+(D5*D16*$I$53*$K$53)+(D5*D16*$I$54*$K$54)</f>
        <v>2890.7999999999988</v>
      </c>
      <c r="E22" s="131">
        <f>(E5*E16*$I$35*$K$35)+(E5*E16*$I$36*$K$36)+(E5*E16*$I$37*$K$37)+(E5*E16*$I$38*$K$38)+(E5*E16*$I$39*$K$39)+(E5*E16*$I$40*$K$40)+(E5*E16*$I$41*$K$41)+(E5*E16*$I$42*$K$42)+(E5*E16*$I$43*$K$43)+(E5*E16*$I$44*$K$44)+(E5*E16*$I$44*$K$44)+(E5*E16*$I$45*$K$45)+(E5*E16*$I$46*$K$46)+(E5*E16*$I$47*$K$47)+(E5*E16*$I$48*$K$48)+(E5*E16*$I$49*$K$49)+(E5*E16*$I$50*$K$50)+(E5*E16*$I$51*$K$51)+(E5*E16*$I$52*$K$52)+(E5*E16*$I$53*$K$53)+(E5*E16*$I$54*$K$54)</f>
        <v>17344.8</v>
      </c>
      <c r="F22" s="131">
        <f>(F5*F16*$I$35*$K$35)+(F5*F16*$I$36*$K$36)+(F5*F16*$I$37*$K$37)+(F5*F16*$I$38*$K$38)+(F5*F16*$I$39*$K$39)+(F5*F16*$I$40*$K$40)+(F5*F16*$I$41*$K$41)+(F5*F16*$I$42*$K$42)+(F5*F16*$I$43*$K$43)+(F5*F16*$I$44*$K$44)+(F5*F16*$I$44*$K$44)+(F5*F16*$I$45*$K$45)+(F5*F16*$I$46*$K$46)+(F5*F16*$I$47*$K$47)+(F5*F16*$I$48*$K$48)+(F5*F16*$I$49*$K$49)+(F5*F16*$I$50*$K$50)+(F5*F16*$I$51*$K$51)+(F5*F16*$I$52*$K$52)+(F5*F16*$I$53*$K$53)+(F5*F16*$I$54*$K$54)</f>
        <v>4336.1999999999989</v>
      </c>
      <c r="G22" s="131">
        <f>(G5*G16*$I$35*$L$35)+(G5*G16*$I$36*$L$36)+(G5*G16*$I$37*$L$37)+(G5*G16*$I$38*$L$38)+(G5*G16*$I$39*$L$39)+(G5*G16*$I$40*$L$40)+(G5*G16*$I$41*$L$41)+(G5*G16*$I$42*$L$42)+(G5*G16*$I$43*$L$43)+(G5*G16*$I$44*$L$44)+(G5*G16*$I$44*$L$44)+(G5*G16*$I$45*$L$45)+(G5*G16*$I$46*$L$46)+(G5*G16*$I$47*$L$47)+(G5*G16*$I$48*$L$48)+(G5*G16*$I$49*$L$49)+(G5*G16*$I$50*$L$50)+(G5*G16*$I$51*$L$51)+(G5*G16*$I$52*$L$52)+(G5*G16*$I$53*$L$53)+(G5*G16*$I$54*$L$54)</f>
        <v>1629.36</v>
      </c>
      <c r="H22" s="131">
        <f>(H5*H16*$I$35*$L$35)+(H5*H16*$I$36*$L$36)+(H5*H16*$I$37*$L$37)+(H5*H16*$I$38*$L$38)+(H5*H16*$I$39*$L$39)+(H5*H16*$I$40*$L$40)+(H5*H16*$I$41*$L$41)+(H5*H16*$I$42*$L$42)+(H5*H16*$I$43*$L$43)+(H5*H16*$I$44*$L$44)+(H5*H16*$I$44*$L$44)+(H5*H16*$I$45*$L$45)+(H5*H16*$I$46*$L$46)+(H5*H16*$I$47*$L$47)+(H5*H16*$I$48*$L$48)+(H5*H16*$I$49*$L$49)+(H5*H16*$I$50*$L$50)+(H5*H16*$I$51*$L$51)+(H5*H16*$I$52*$L$52)+(H5*H16*$I$53*$L$53)+(H5*H16*$I$54*$L$54)</f>
        <v>706.48031249999997</v>
      </c>
      <c r="I22" s="131">
        <f>(I5*I16*$I$35*$L$35)+(I5*I16*$I$36*$L$36)+(I5*I16*$I$37*$L$37)+(I5*I16*$I$38*$L$38)+(I5*I16*$I$39*$L$39)+(I5*I16*$I$40*$L$40)+(I5*I16*$I$41*$L$41)+(I5*I16*$I$42*$L$42)+(I5*I16*$I$43*$L$43)+(I5*I16*$I$44*$L$44)+(I5*I16*$I$44*$L$44)+(I5*I16*$I$45*$L$45)+(I5*I16*$I$46*$L$46)+(I5*I16*$I$47*$L$47)+(I5*I16*$I$48*$L$48)+(I5*I16*$I$49*$L$49)+(I5*I16*$I$50*$L$50)+(I5*I16*$I$51*$L$51)+(I5*I16*$I$52*$L$52)+(I5*I16*$I$53*$L$53)+(I5*I16*$I$54*$L$54)</f>
        <v>4047.9412500000008</v>
      </c>
      <c r="J22" s="131">
        <f>(J5*J16*$I$35*$L$35)+(J5*J16*$I$36*$L$36)+(J5*J16*$I$37*$L$37)+(J5*J16*$I$38*$L$38)+(J5*J16*$I$39*$L$39)+(J5*J16*$I$40*$L$40)+(J5*J16*$I$41*$L$41)+(J5*J16*$I$42*$L$42)+(J5*J16*$I$43*$L$43)+(J5*J16*$I$44*$L$44)+(J5*J16*$I$44*$L$44)+(J5*J16*$I$45*$L$45)+(J5*J16*$I$46*$L$46)+(J5*J16*$I$47*$L$47)+(J5*J16*$I$48*$L$48)+(J5*J16*$I$49*$L$49)+(J5*J16*$I$50*$L$50)+(J5*J16*$I$51*$L$51)+(J5*J16*$I$52*$L$52)+(J5*J16*$I$53*$L$53)+(J5*J16*$I$54*$L$54)</f>
        <v>2864.109375</v>
      </c>
      <c r="K22" s="131">
        <f>(K5*K16*$I$35*$L$35)+(K5*K16*$I$36*$L$36)+(K5*K16*$I$37*$L$37)+(K5*K16*$I$38*$L$38)+(K5*K16*$I$39*$L$39)+(K5*K16*$I$40*$L$40)+(K5*K16*$I$41*$L$41)+(K5*K16*$I$42*$L$42)+(K5*K16*$I$43*$L$43)+(K5*K16*$I$44*$L$44)+(K5*K16*$I$44*$L$44)+(K5*K16*$I$45*$L$45)+(K5*K16*$I$46*$L$46)+(K5*K16*$I$47*$L$47)+(K5*K16*$I$48*$L$48)+(K5*K16*$I$49*$L$49)+(K5*K16*$I$50*$L$50)+(K5*K16*$I$51*$L$51)+(K5*K16*$I$52*$L$52)+(K5*K16*$I$53*$L$53)+(K5*K16*$I$54*$L$54)</f>
        <v>6339.2287500000002</v>
      </c>
      <c r="M22" s="131">
        <f>(M5*M16*$J$35*$K$35)+(M5*M16*$J$36*$K$36)+(M5*M16*$J$37*$K$37)+(M5*M16*$J$38*$K$38)+(M5*M16*$J$39*$K$39)+(M5*M16*$J$40*$K$40)+(M5*M16*$J$41*$K$41)+(M5*M16*$J$42*$K$42)+(M5*M16*$J$43*$K$43)+(M5*M16*$J$44*$K$44)+(M5*M16*$J$44*$K$44)+(M5*M16*$J$45*$K$45)+(M5*M16*$J$46*$K$46)+(M5*M16*$J$47*$K$47)+(M5*M16*$J$48*$K$48)+(M5*M16*$J$49*$K$49)+(M5*M16*$J$50*$K$50)+(M5*M16*$J$51*$K$51)+(M5*M16*$J$52*$K$52)+(M5*M16*$J$53*$K$53)+(M5*M16*$J$54*$K$54)</f>
        <v>24282.720000000001</v>
      </c>
      <c r="N22" s="131">
        <f>(N5*N16*$J$35*$K$35)+(N5*N16*$J$36*$K$36)+(N5*N16*$J$37*$K$37)+(N5*N16*$J$38*$K$38)+(N5*N16*$J$39*$K$39)+(N5*N16*$J$40*$K$40)+(N5*N16*$J$41*$K$41)+(N5*N16*$J$42*$K$42)+(N5*N16*$J$43*$K$43)+(N5*N16*$J$44*$K$44)+(N5*N16*$J$44*$K$44)+(N5*N16*$J$45*$K$45)+(N5*N16*$J$46*$K$46)+(N5*N16*$J$47*$K$47)+(N5*N16*$J$48*$K$48)+(N5*N16*$J$49*$K$49)+(N5*N16*$J$50*$K$50)+(N5*N16*$J$51*$K$51)+(N5*N16*$J$52*$K$52)+(N5*N16*$J$53*$K$53)+(N5*N16*$J$54*$K$54)</f>
        <v>2698.079999999999</v>
      </c>
      <c r="O22" s="131">
        <f>(O5*O16*$J$35*$K$35)+(O5*O16*$J$36*$K$36)+(O5*O16*$J$37*$K$37)+(O5*O16*$J$38*$K$38)+(O5*O16*$J$39*$K$39)+(O5*O16*$J$40*$K$40)+(O5*O16*$J$41*$K$41)+(O5*O16*$J$42*$K$42)+(O5*O16*$J$43*$K$43)+(O5*O16*$J$44*$K$44)+(O5*O16*$J$44*$K$44)+(O5*O16*$J$45*$K$45)+(O5*O16*$J$46*$K$46)+(O5*O16*$J$47*$K$47)+(O5*O16*$J$48*$K$48)+(O5*O16*$J$49*$K$49)+(O5*O16*$J$50*$K$50)+(O5*O16*$J$51*$K$51)+(O5*O16*$J$52*$K$52)+(O5*O16*$J$53*$K$53)+(O5*O16*$J$54*$K$54)</f>
        <v>16188.480000000001</v>
      </c>
      <c r="P22" s="131">
        <f>(P5*P16*$J$35*$K$35)+(P5*P16*$J$36*$K$36)+(P5*P16*$J$37*$K$37)+(P5*P16*$J$38*$K$38)+(P5*P16*$J$39*$K$39)+(P5*P16*$J$40*$K$40)+(P5*P16*$J$41*$K$41)+(P5*P16*$J$42*$K$42)+(P5*P16*$J$43*$K$43)+(P5*P16*$J$44*$K$44)+(P5*P16*$J$44*$K$44)+(P5*P16*$J$45*$K$45)+(P5*P16*$J$46*$K$46)+(P5*P16*$J$47*$K$47)+(P5*P16*$J$48*$K$48)+(P5*P16*$J$49*$K$49)+(P5*P16*$J$50*$K$50)+(P5*P16*$J$51*$K$51)+(P5*P16*$J$52*$K$52)+(P5*P16*$J$53*$K$53)+(P5*P16*$J$54*$K$54)</f>
        <v>4047.1199999999994</v>
      </c>
      <c r="Q22" s="131">
        <f>(Q5*Q16*$J$35*$L$35)+(Q5*Q16*$J$36*$L$36)+(Q5*Q16*$J$37*$L$37)+(Q5*Q16*$J$38*$L$38)+(Q5*Q16*$J$39*$L$39)+(Q5*Q16*$J$40*$L$40)+(Q5*Q16*$J$41*$L$41)+(Q5*Q16*$J$42*$L$42)+(Q5*Q16*$J$43*$L$43)+(Q5*Q16*$J$44*$L$44)+(Q5*Q16*$J$44*$L$44)+(Q5*Q16*$J$45*$L$45)+(Q5*Q16*$J$46*$L$46)+(Q5*Q16*$J$47*$L$47)+(Q5*Q16*$J$48*$L$48)+(Q5*Q16*$J$49*$L$49)+(Q5*Q16*$J$50*$L$50)+(Q5*Q16*$J$51*$L$51)+(Q5*Q16*$J$52*$L$52)+(Q5*Q16*$J$53*$L$53)+(Q5*Q16*$J$54*$L$54)</f>
        <v>1013.8240000000001</v>
      </c>
      <c r="R22" s="131">
        <f>(R5*R16*$J$35*$L$35)+(R5*R16*$J$36*$L$36)+(R5*R16*$J$37*$L$37)+(R5*R16*$J$38*$L$38)+(R5*R16*$J$39*$L$39)+(R5*R16*$J$40*$L$40)+(R5*R16*$J$41*$L$41)+(R5*R16*$J$42*$L$42)+(R5*R16*$J$43*$L$43)+(R5*R16*$J$44*$L$44)+(R5*R16*$J$44*$L$44)+(R5*R16*$J$45*$L$45)+(R5*R16*$J$46*$L$46)+(R5*R16*$J$47*$L$47)+(R5*R16*$J$48*$L$48)+(R5*R16*$J$49*$L$49)+(R5*R16*$J$50*$L$50)+(R5*R16*$J$51*$L$51)+(R5*R16*$J$52*$L$52)+(R5*R16*$J$53*$L$53)+(R5*R16*$J$54*$L$54)</f>
        <v>439.58775000000003</v>
      </c>
      <c r="S22" s="131">
        <f>(S5*S16*$J$35*$L$35)+(S5*S16*$J$36*$L$36)+(S5*S16*$J$37*$L$37)+(S5*S16*$J$38*$L$38)+(S5*S16*$J$39*$L$39)+(S5*S16*$J$40*$L$40)+(S5*S16*$J$41*$L$41)+(S5*S16*$J$42*$L$42)+(S5*S16*$J$43*$L$43)+(S5*S16*$J$44*$L$44)+(S5*S16*$J$44*$L$44)+(S5*S16*$J$45*$L$45)+(S5*S16*$J$46*$L$46)+(S5*S16*$J$47*$L$47)+(S5*S16*$J$48*$L$48)+(S5*S16*$J$49*$L$49)+(S5*S16*$J$50*$L$50)+(S5*S16*$J$51*$L$51)+(S5*S16*$J$52*$L$52)+(S5*S16*$J$53*$L$53)+(S5*S16*$J$54*$L$54)</f>
        <v>2518.7190000000005</v>
      </c>
      <c r="T22" s="131">
        <f>(T5*T16*$J$35*$L$35)+(T5*T16*$J$36*$L$36)+(T5*T16*$J$37*$L$37)+(T5*T16*$J$38*$L$38)+(T5*T16*$J$39*$L$39)+(T5*T16*$J$40*$L$40)+(T5*T16*$J$41*$L$41)+(T5*T16*$J$42*$L$42)+(T5*T16*$J$43*$L$43)+(T5*T16*$J$44*$L$44)+(T5*T16*$J$44*$L$44)+(T5*T16*$J$45*$L$45)+(T5*T16*$J$46*$L$46)+(T5*T16*$J$47*$L$47)+(T5*T16*$J$48*$L$48)+(T5*T16*$J$49*$L$49)+(T5*T16*$J$50*$L$50)+(T5*T16*$J$51*$L$51)+(T5*T16*$J$52*$L$52)+(T5*T16*$J$53*$L$53)+(T5*T16*$J$54*$L$54)</f>
        <v>1782.1125000000002</v>
      </c>
      <c r="U22" s="131">
        <f>(U5*U16*$J$35*$L$35)+(U5*U16*$J$36*$L$36)+(U5*U16*$J$37*$L$37)+(U5*U16*$J$38*$L$38)+(U5*U16*$J$39*$L$39)+(U5*U16*$J$40*$L$40)+(U5*U16*$J$41*$L$41)+(U5*U16*$J$42*$L$42)+(U5*U16*$J$43*$L$43)+(U5*U16*$J$44*$L$44)+(U5*U16*$J$44*$L$44)+(U5*U16*$J$45*$L$45)+(U5*U16*$J$46*$L$46)+(U5*U16*$J$47*$L$47)+(U5*U16*$J$48*$L$48)+(U5*U16*$J$49*$L$49)+(U5*U16*$J$50*$L$50)+(U5*U16*$J$51*$L$51)+(U5*U16*$J$52*$L$52)+(U5*U16*$J$53*$L$53)+(U5*U16*$J$54*$L$54)</f>
        <v>3944.4090000000001</v>
      </c>
    </row>
    <row r="23" spans="1:21" s="98" customFormat="1" x14ac:dyDescent="0.3">
      <c r="B23" s="126" t="s">
        <v>689</v>
      </c>
      <c r="C23" s="131">
        <f>C22*0.01*(44/28)</f>
        <v>408.84171428571432</v>
      </c>
      <c r="D23" s="131">
        <f t="shared" ref="D23:K23" si="14">D22*0.01*(44/28)</f>
        <v>45.426857142857124</v>
      </c>
      <c r="E23" s="131">
        <f t="shared" si="14"/>
        <v>272.56114285714284</v>
      </c>
      <c r="F23" s="131">
        <f t="shared" si="14"/>
        <v>68.140285714285696</v>
      </c>
      <c r="G23" s="131">
        <f t="shared" si="14"/>
        <v>25.604228571428568</v>
      </c>
      <c r="H23" s="131">
        <f t="shared" si="14"/>
        <v>11.101833482142856</v>
      </c>
      <c r="I23" s="131">
        <f t="shared" si="14"/>
        <v>63.61050535714287</v>
      </c>
      <c r="J23" s="131">
        <f t="shared" si="14"/>
        <v>45.007433035714286</v>
      </c>
      <c r="K23" s="131">
        <f t="shared" si="14"/>
        <v>99.61645178571429</v>
      </c>
      <c r="L23" s="126"/>
      <c r="M23" s="131">
        <f t="shared" ref="M23:U23" si="15">M22*0.01*(44/28)</f>
        <v>381.5856</v>
      </c>
      <c r="N23" s="131">
        <f t="shared" si="15"/>
        <v>42.398399999999988</v>
      </c>
      <c r="O23" s="131">
        <f t="shared" si="15"/>
        <v>254.39040000000003</v>
      </c>
      <c r="P23" s="131">
        <f t="shared" si="15"/>
        <v>63.597599999999993</v>
      </c>
      <c r="Q23" s="131">
        <f t="shared" si="15"/>
        <v>15.931520000000003</v>
      </c>
      <c r="R23" s="131">
        <f t="shared" si="15"/>
        <v>6.9078074999999997</v>
      </c>
      <c r="S23" s="131">
        <f t="shared" si="15"/>
        <v>39.579870000000007</v>
      </c>
      <c r="T23" s="131">
        <f t="shared" si="15"/>
        <v>28.004625000000004</v>
      </c>
      <c r="U23" s="131">
        <f t="shared" si="15"/>
        <v>61.98357</v>
      </c>
    </row>
    <row r="24" spans="1:21" s="98" customFormat="1" x14ac:dyDescent="0.3">
      <c r="B24" s="126" t="s">
        <v>690</v>
      </c>
      <c r="C24" s="131">
        <f t="shared" ref="C24:K24" si="16">(C23/1000)*310</f>
        <v>126.74093142857143</v>
      </c>
      <c r="D24" s="131">
        <f t="shared" si="16"/>
        <v>14.082325714285709</v>
      </c>
      <c r="E24" s="131">
        <f t="shared" si="16"/>
        <v>84.493954285714281</v>
      </c>
      <c r="F24" s="131">
        <f t="shared" si="16"/>
        <v>21.123488571428567</v>
      </c>
      <c r="G24" s="131">
        <f t="shared" si="16"/>
        <v>7.9373108571428554</v>
      </c>
      <c r="H24" s="131">
        <f t="shared" si="16"/>
        <v>3.4415683794642855</v>
      </c>
      <c r="I24" s="131">
        <f t="shared" si="16"/>
        <v>19.71925666071429</v>
      </c>
      <c r="J24" s="131">
        <f t="shared" si="16"/>
        <v>13.952304241071428</v>
      </c>
      <c r="K24" s="131">
        <f t="shared" si="16"/>
        <v>30.88110005357143</v>
      </c>
      <c r="L24" s="126"/>
      <c r="M24" s="131">
        <f t="shared" ref="M24:U24" si="17">(M23/1000)*310</f>
        <v>118.29153600000001</v>
      </c>
      <c r="N24" s="131">
        <f t="shared" si="17"/>
        <v>13.143503999999997</v>
      </c>
      <c r="O24" s="131">
        <f t="shared" si="17"/>
        <v>78.861024</v>
      </c>
      <c r="P24" s="131">
        <f t="shared" si="17"/>
        <v>19.715255999999997</v>
      </c>
      <c r="Q24" s="131">
        <f t="shared" si="17"/>
        <v>4.9387712000000006</v>
      </c>
      <c r="R24" s="131">
        <f t="shared" si="17"/>
        <v>2.1414203249999999</v>
      </c>
      <c r="S24" s="131">
        <f t="shared" si="17"/>
        <v>12.269759700000003</v>
      </c>
      <c r="T24" s="131">
        <f t="shared" si="17"/>
        <v>8.6814337500000018</v>
      </c>
      <c r="U24" s="131">
        <f t="shared" si="17"/>
        <v>19.2149067</v>
      </c>
    </row>
    <row r="25" spans="1:21" s="98" customFormat="1" x14ac:dyDescent="0.3">
      <c r="B25" s="100" t="s">
        <v>691</v>
      </c>
      <c r="C25" s="89">
        <f>SUM(C24:K24)</f>
        <v>322.37224019196424</v>
      </c>
      <c r="D25" s="103"/>
      <c r="E25" s="103"/>
      <c r="F25" s="103"/>
      <c r="G25" s="103"/>
      <c r="H25" s="103"/>
      <c r="I25" s="103"/>
      <c r="J25" s="103"/>
      <c r="K25" s="103"/>
      <c r="M25" s="89">
        <f>SUM(M24:U24)</f>
        <v>277.25761167500002</v>
      </c>
      <c r="N25" s="103"/>
      <c r="O25" s="103"/>
      <c r="P25" s="103"/>
      <c r="Q25" s="103"/>
      <c r="R25" s="103"/>
      <c r="S25" s="103"/>
      <c r="T25" s="103"/>
      <c r="U25" s="103"/>
    </row>
    <row r="26" spans="1:21" s="98" customFormat="1" x14ac:dyDescent="0.3">
      <c r="A26" s="87" t="s">
        <v>1147</v>
      </c>
      <c r="B26" s="136"/>
      <c r="C26" s="137"/>
      <c r="D26" s="137"/>
      <c r="E26" s="137"/>
      <c r="F26" s="137"/>
      <c r="G26" s="137"/>
      <c r="H26" s="137"/>
      <c r="I26" s="137"/>
      <c r="J26" s="137"/>
      <c r="K26" s="137"/>
      <c r="L26" s="107"/>
      <c r="M26" s="137"/>
      <c r="N26" s="103"/>
      <c r="O26" s="103"/>
      <c r="P26" s="103"/>
      <c r="Q26" s="103"/>
      <c r="R26" s="103"/>
      <c r="S26" s="103"/>
      <c r="T26" s="103"/>
      <c r="U26" s="103"/>
    </row>
    <row r="27" spans="1:21" s="98" customFormat="1" x14ac:dyDescent="0.3">
      <c r="A27" s="98" t="s">
        <v>791</v>
      </c>
      <c r="B27" s="138" t="s">
        <v>694</v>
      </c>
      <c r="C27" s="137">
        <f>((C5*C16*$I$35*(1-$M$35))+(C5*$I$35*7))+((C5*C16*$I$36*(1-$M$36))+(C5*$I$36*7))+((C5*C16*$I$37*(1-$M$37))+((C5*$I$37*7))+(C5*C16*$I$38*(1-$M$38))+(C5*$I$38*7))+((C5*C16*$I$39*(1-$M$39))+(C5*$I$39*7))+((C5*C16*$I$40*(1-$M$40))+(C5*$I$40*7))+((C5*C16*$I$41*(1-$M$41))+(C5*$I$41*7))+((C5*C16*$I$42*(1-$M$42))+(C5*$I$42*7))+((C5*C16*$I$43*(1-$M$43))+(C5*$I$43*7))+((C5*C16*$I$44*(1-$M$44))+(C5*$I$44*7))+((C5*C16*$I$45*(1-$M$45))+(C5*$I$45*7))+((C5*C16*$I$46*(1-$M$46))+(C5*$I$46*7))+((C5*C16*$I$47*(1-$M$47))+(C5*$I$47*7))+((C5*C16*$I$48*(1-$M$48))+(C5*$I$48*7))+((C5*C16*$I$49*(1-$M$49))+(C5*$I$49*7))+((C5*C16*$I$50*(1-$M$50))+(C5*$I$50*7))+((C5*C16*$I$51*(1-$M$51))+(C5*$I$51*7))+((C5*C16*$I$52*(1-$M$52))+(C5*$I$52*7))+((C5*C16*$I$53*(1-$M$53))+(C5*$I$53*7))+((C5*C16*$I$54*(1-$M$54))+(C5*$I$54*7))</f>
        <v>58334.400000000001</v>
      </c>
      <c r="D27" s="137">
        <f>((D5*D16*$I$35*(1-$M$35))+(D5*$I$35*7))+((D5*D16*$I$36*(1-$M$36))+(D5*$I$36*7))+((D5*D16*$I$37*(1-$M$37))+((D5*$I$37*7))+(D5*D16*$I$38*(1-$M$38))+(D5*$I$38*7))+((D5*D16*$I$39*(1-$M$39))+(D5*$I$39*7))+((D5*D16*$I$40*(1-$M$40))+(D5*$I$40*7))+((D5*D16*$I$41*(1-$M$41))+(D5*$I$41*7))+((D5*D16*$I$42*(1-$M$42))+(D5*$I$42*7))+((D5*D16*$I$43*(1-$M$43))+(D5*$I$43*7))+((D5*D16*$I$44*(1-$M$44))+(D5*$I$44*7))+((D5*D16*$I$45*(1-$M$45))+(D5*$I$45*7))+((D5*D16*$I$46*(1-$M$46))+(D5*$I$46*7))+((D5*D16*$I$47*(1-$M$47))+(D5*$I$47*7))+((D5*D16*$I$48*(1-$M$48))+(D5*$I$48*7))+((D5*D16*$I$49*(1-$M$49))+(D5*$I$49*7))+((D5*D16*$I$50*(1-$M$50))+(D5*$I$50*7))+((D5*D16*$I$51*(1-$M$51))+(D5*$I$51*7))+((D5*D16*$I$52*(1-$M$52))+(D5*$I$52*7))+((D5*D16*$I$53*(1-$M$53))+(D5*$I$53*7))+((D5*D16*$I$54*(1-$M$54))+(D5*$I$54*7))</f>
        <v>6481.5999999999976</v>
      </c>
      <c r="E27" s="137">
        <f>((E5*E16*$I$35*(1-$M$35))+(E5*$I$35*4))+((E5*E16*$I$36*(1-$M$36))+(E5*$I$36*4))+((E5*E16*$I$37*(1-$M$37))+((E5*$I$37*4))+(E5*E16*$I$38*(1-$M$38))+(E5*$I$38*4))+((E5*E16*$I$39*(1-$M$39))+(E5*$I$39*4))+((E5*E16*$I$40*(1-$M$40))+(E5*$I$40*4))+((E5*E16*$I$41*(1-$M$41))+(E5*$I$41*4))+((E5*E16*$I$42*(1-$M$42))+(E5*$I$42*4))+((E5*E16*$I$43*(1-$M$43))+(E5*$I$43*4))+((E5*E16*$I$44*(1-$M$44))+(E5*$I$44*4))+((E5*E16*$I$45*(1-$M$45))+(E5*$I$45*4))+((E5*E16*$I$46*(1-$M$46))+(E5*$I$46*4))+((E5*E16*$I$47*(1-$M$47))+(E5*$I$47*4))+((E5*E16*$I$48*(1-$M$48))+(E5*$I$48*4))+((E5*E16*$I$49*(1-$M$49))+(E5*$I$49*4))+((E5*E16*$I$50*(1-$M$50))+(E5*$I$50*4))+((E5*E16*$I$51*(1-$M$51))+(E5*$I$51*4))+((E5*E16*$I$52*(1-$M$52))+(E5*$I$52*4))+((E5*E16*$I$53*(1-$M$53))+(E5*$I$53*4))+((E5*E16*$I$54*(1-$M$54))+(E5*$I$54*4))</f>
        <v>37569.599999999999</v>
      </c>
      <c r="F27" s="137">
        <f>((F5*F16*$I$35*(1-$M$35))+(F5*$I$35*4))+((F5*F16*$I$36*(1-$M$36))+(F5*$I$36*4))+((F5*F16*$I$37*(1-$M$37))+((F5*$I$37*4))+(F5*F16*$I$38*(1-$M$38))+(F5*$I$38*4))+((F5*F16*$I$39*(1-$M$39))+(F5*$I$39*4))+((F5*F16*$I$40*(1-$M$40))+(F5*$I$40*4))+((F5*F16*$I$41*(1-$M$41))+(F5*$I$41*4))+((F5*F16*$I$42*(1-$M$42))+(F5*$I$42*4))+((F5*F16*$I$43*(1-$M$43))+(F5*$I$43*4))+((F5*F16*$I$44*(1-$M$44))+(F5*$I$44*4))+((F5*F16*$I$45*(1-$M$45))+(F5*$I$45*4))+((F5*F16*$I$46*(1-$M$46))+(F5*$I$46*4))+((F5*F16*$I$47*(1-$M$47))+(F5*$I$47*4))+((F5*F16*$I$48*(1-$M$48))+(F5*$I$48*4))+((F5*F16*$I$49*(1-$M$49))+(F5*$I$49*4))+((F5*F16*$I$50*(1-$M$50))+(F5*$I$50*4))+((F5*F16*$I$51*(1-$M$51))+(F5*$I$51*4))+((F5*F16*$I$52*(1-$M$52))+(F5*$I$52*4))+((F5*F16*$I$53*(1-$M$53))+(F5*$I$53*4))+((F5*F16*$I$54*(1-$M$54))+(F5*$I$54*4))</f>
        <v>9392.3999999999978</v>
      </c>
      <c r="G27" s="137">
        <f>((G5*G16*$I$35*(1-$N$35))+(G5*$I$35*4))+((G5*G16*$I$36*(1-$N$36))+(G5*$I$36*4))+((G5*G16*$I$37*(1-$N$37))+((G5*$I$37*4))+(G5*G16*$I$38*(1-$N$38))+(G5*$I$38*4))+((G5*G16*$I$39*(1-$N$39))+(G5*$I$39*4))+((G5*G16*$I$40*(1-$N$40))+(G5*$I$40*4))+((G5*G16*$I$41*(1-$N$41))+(G5*$I$41*4))+((G5*G16*$I$42*(1-$N$42))+(G5*$I$42*4))+((G5*G16*$I$43*(1-$N$43))+(G5*$I$43*4))+((G5*G16*$I$44*(1-$N$44))+(G5*$I$44*4))+((G5*G16*$I$45*(1-$N$45))+(G5*$I$45*4))+((G5*G16*$I$46*(1-$N$46))+(G5*$I$46*4))+((G5*G16*$I$47*(1-$N$47))+(G5*$I$47*4))+((G5*G16*$I$48*(1-$N$48))+(G5*$I$48*4))+((G5*G16*$I$49*(1-$N$49))+(G5*$I$49*4))+((G5*G16*$I$50*(1-$N$50))+(G5*$I$50*4))+((G5*G16*$I$51*(1-$N$51))+(G5*$I$51*4))+((G5*G16*$I$52*(1-$N$52))+(G5*$I$52*4))+((G5*G16*$I$53*(1-$N$53))+(G5*$I$53*4))+((G5*G16*$I$54*(1-$N$54))+(G5*$I$54*4))</f>
        <v>1970.3999999999999</v>
      </c>
      <c r="H27" s="137">
        <f>((H5*H16*$I$35*(1-$N$35))+(H5*$I$35*4))+((H5*H16*$I$36*(1-$N$36))+(H5*$I$36*4))+((H5*H16*$I$37*(1-$N$37))+((H5*$I$37*4))+(H5*H16*$I$38*(1-$N$38))+(H5*$I$38*4))+((H5*H16*$I$39*(1-$N$39))+(H5*$I$39*4))+((H5*H16*$I$40*(1-$N$40))+(H5*$I$40*4))+((H5*H16*$I$41*(1-$N$41))+(H5*$I$41*4))+((H5*H16*$I$42*(1-$N$42))+(H5*$I$42*4))+((H5*H16*$I$43*(1-$N$43))+(H5*$I$43*4))+((H5*H16*$I$44*(1-$N$44))+(H5*$I$44*4))+((H5*H16*$I$45*(1-$N$45))+(H5*$I$45*4))+((H5*H16*$I$46*(1-$N$46))+(H5*$I$46*4))+((H5*H16*$I$47*(1-$N$47))+(H5*$I$47*4))+((H5*H16*$I$48*(1-$N$48))+(H5*$I$48*4))+((H5*H16*$I$49*(1-$N$49))+(H5*$I$49*4))+((H5*H16*$I$50*(1-$N$50))+(H5*$I$50*4))+((H5*H16*$I$51*(1-$N$51))+(H5*$I$51*4))+((H5*H16*$I$52*(1-$N$52))+(H5*$I$52*4))+((H5*H16*$I$53*(1-$N$53))+(H5*$I$53*4))+((H5*H16*$I$54*(1-$N$54))+(H5*$I$54*4))</f>
        <v>1084.9781250000001</v>
      </c>
      <c r="I27" s="137">
        <f>((I5*I16*$I$35*(1-$N$35))+(I5*$I$35*4))+((I5*I16*$I$36*(1-$N$36))+(I5*$I$36*4))+((I5*I16*$I$37*(1-$N$37))+((I5*$I$37*4))+(I5*I16*$I$38*(1-$N$38))+(I5*$I$38*4))+((I5*I16*$I$39*(1-$N$39))+(I5*$I$39*4))+((I5*I16*$I$40*(1-$N$40))+(I5*$I$40*4))+((I5*I16*$I$41*(1-$N$41))+(I5*$I$41*4))+((I5*I16*$I$42*(1-$N$42))+(I5*$I$42*4))+((I5*I16*$I$43*(1-$N$43))+(I5*$I$43*4))+((I5*I16*$I$44*(1-$N$44))+(I5*$I$44*4))+((I5*I16*$I$45*(1-$N$45))+(I5*$I$45*4))+((I5*I16*$I$46*(1-$N$46))+(I5*$I$46*4))+((I5*I16*$I$47*(1-$N$47))+(I5*$I$47*4))+((I5*I16*$I$48*(1-$N$48))+(I5*$I$48*4))+((I5*I16*$I$49*(1-$N$49))+(I5*$I$49*4))+((I5*I16*$I$50*(1-$N$50))+(I5*$I$50*4))+((I5*I16*$I$51*(1-$N$51))+(I5*$I$51*4))+((I5*I16*$I$52*(1-$N$52))+(I5*$I$52*4))+((I5*I16*$I$53*(1-$N$53))+(I5*$I$53*4))+((I5*I16*$I$54*(1-$N$54))+(I5*$I$54*4))</f>
        <v>5697.7125000000005</v>
      </c>
      <c r="J27" s="137">
        <f>((J5*J16*$I$35*(1-$N$35))+(J5*$I$35*4))+((J5*J16*$I$36*(1-$N$36))+(J5*$I$36*4))+((J5*J16*$I$37*(1-$N$37))+((J5*$I$37*4))+(J5*J16*$I$38*(1-$N$38))+(J5*$I$38*4))+((J5*J16*$I$39*(1-$N$39))+(J5*$I$39*4))+((J5*J16*$I$40*(1-$N$40))+(J5*$I$40*4))+((J5*J16*$I$41*(1-$N$41))+(J5*$I$41*4))+((J5*J16*$I$42*(1-$N$42))+(J5*$I$42*4))+((J5*J16*$I$43*(1-$N$43))+(J5*$I$43*4))+((J5*J16*$I$44*(1-$N$44))+(J5*$I$44*4))+((J5*J16*$I$45*(1-$N$45))+(J5*$I$45*4))+((J5*J16*$I$46*(1-$N$46))+(J5*$I$46*4))+((J5*J16*$I$47*(1-$N$47))+(J5*$I$47*4))+((J5*J16*$I$48*(1-$N$48))+(J5*$I$48*4))+((J5*J16*$I$49*(1-$N$49))+(J5*$I$49*4))+((J5*J16*$I$50*(1-$N$50))+(J5*$I$50*4))+((J5*J16*$I$51*(1-$N$51))+(J5*$I$51*4))+((J5*J16*$I$52*(1-$N$52))+(J5*$I$52*4))+((J5*J16*$I$53*(1-$N$53))+(J5*$I$53*4))+((J5*J16*$I$54*(1-$N$54))+(J5*$I$54*4))</f>
        <v>3782.34375</v>
      </c>
      <c r="K27" s="137">
        <f>((K5*K16*$I$35*(1-$N$35))+(K5*$I$35*4))+((K5*K16*$I$36*(1-$N$36))+(K5*$I$36*4))+((K5*K16*$I$37*(1-$N$37))+((K5*$I$37*4))+(K5*K16*$I$38*(1-$N$38))+(K5*$I$38*4))+((K5*K16*$I$39*(1-$N$39))+(K5*$I$39*4))+((K5*K16*$I$40*(1-$N$40))+(K5*$I$40*4))+((K5*K16*$I$41*(1-$N$41))+(K5*$I$41*4))+((K5*K16*$I$42*(1-$N$42))+(K5*$I$42*4))+((K5*K16*$I$43*(1-$N$43))+(K5*$I$43*4))+((K5*K16*$I$44*(1-$N$44))+(K5*$I$44*4))+((K5*K16*$I$45*(1-$N$45))+(K5*$I$45*4))+((K5*K16*$I$46*(1-$N$46))+(K5*$I$46*4))+((K5*K16*$I$47*(1-$N$47))+(K5*$I$47*4))+((K5*K16*$I$48*(1-$N$48))+(K5*$I$48*4))+((K5*K16*$I$49*(1-$N$49))+(K5*$I$49*4))+((K5*K16*$I$50*(1-$N$50))+(K5*$I$50*4))+((K5*K16*$I$51*(1-$N$51))+(K5*$I$51*4))+((K5*K16*$I$52*(1-$N$52))+(K5*$I$52*4))+((K5*K16*$I$53*(1-$N$53))+(K5*$I$53*4))+((K5*K16*$I$54*(1-$N$54))+(K5*$I$54*4))</f>
        <v>8243.5874999999996</v>
      </c>
      <c r="L27" s="107"/>
      <c r="M27" s="137">
        <f>((M5*M16*$J$35*(1-$M$35))+(M5*$J$35*7))+((M5*M16*$J$36*(1-$M$36))+(M5*$J$36*7))+((M5*M16*$J$37*(1-$M$37))+((M5*$J$37*7))+(M5*M16*$J$38*(1-$M$38))+(M5*$J$38*7))+((M5*M16*$J$39*(1-$M$39))+(M5*$J$39*7))+((M5*M16*$J$40*(1-$M$40))+(M5*$J$40*7))+((M5*M16*$J$41*(1-$M$41))+(M5*$J$41*7))+((M5*M16*$J$42*(1-$M$42))+(M5*$J$42*7))+((M5*M16*$J$43*(1-$M$43))+(M5*$J$43*7))+((M5*M16*$J$44*(1-$M$44))+(M5*$J$44*7))+((M5*M16*$J$45*(1-$M$45))+(M5*$J$45*7))+((M5*M16*$J$46*(1-$M$46))+(M5*$J$46*7))+((M5*M16*$J$47*(1-$M$47))+(M5*$J$47*7))+((M5*M16*$J$48*(1-$M$48))+(M5*$J$48*7))+((M5*M16*$J$49*(1-$M$49))+(M5*$J$49*7))+((M5*M16*$J$50*(1-$M$50))+(M5*$J$50*7))+((M5*M16*$J$51*(1-$M$51))+(M5*$J$51*7))+((M5*M16*$J$52*(1-$M$52))+(M5*$J$52*7))+((M5*M16*$J$53*(1-$M$53))+(M5*$J$53*7))+((M5*M16*$J$54*(1-$M$54))+(M5*$J$54*7))</f>
        <v>68741.279999999999</v>
      </c>
      <c r="N27" s="137">
        <f>((N5*N16*$J$35*(1-$M$35))+(N5*$J$35*7))+((N5*N16*$J$36*(1-$M$36))+(N5*$J$36*7))+((N5*N16*$J$37*(1-$M$37))+((N5*$J$37*7))+(N5*N16*$J$38*(1-$M$38))+(N5*$J$38*7))+((N5*N16*$J$39*(1-$M$39))+(N5*$J$39*7))+((N5*N16*$J$40*(1-$M$40))+(N5*$J$40*7))+((N5*N16*$J$41*(1-$M$41))+(N5*$J$41*7))+((N5*N16*$J$42*(1-$M$42))+(N5*$J$42*7))+((N5*N16*$J$43*(1-$M$43))+(N5*$J$43*7))+((N5*N16*$J$44*(1-$M$44))+(N5*$J$44*7))+((N5*N16*$J$45*(1-$M$45))+(N5*$J$45*7))+((N5*N16*$J$46*(1-$M$46))+(N5*$J$46*7))+((N5*N16*$J$47*(1-$M$47))+(N5*$J$47*7))+((N5*N16*$J$48*(1-$M$48))+(N5*$J$48*7))+((N5*N16*$J$49*(1-$M$49))+(N5*$J$49*7))+((N5*N16*$J$50*(1-$M$50))+(N5*$J$50*7))+((N5*N16*$J$51*(1-$M$51))+(N5*$J$51*7))+((N5*N16*$J$52*(1-$M$52))+(N5*$J$52*7))+((N5*N16*$J$53*(1-$M$53))+(N5*$J$53*7))+((N5*N16*$J$54*(1-$M$54))+(N5*$J$54*7))</f>
        <v>7637.9199999999973</v>
      </c>
      <c r="O27" s="137">
        <f>((O5*O16*$J$35*(1-$M$35))+(O5*$J$35*4))+((O5*O16*$J$36*(1-$M$36))+(O5*$J$36*4))+((O5*O16*$J$37*(1-$M$37))+((O5*$J$37*4))+(O5*O16*$J$38*(1-$M$38))+(O5*$J$38*4))+((O5*O16*$J$39*(1-$M$39))+(O5*$J$39*4))+((O5*O16*$J$40*(1-$M$40))+(O5*$J$40*4))+((O5*O16*$J$41*(1-$M$41))+(O5*$J$41*4))+((O5*O16*$J$42*(1-$M$42))+(O5*$J$42*4))+((O5*O16*$J$43*(1-$M$43))+(O5*$J$43*4))+((O5*O16*$J$44*(1-$M$44))+(O5*$J$44*4))+((O5*O16*$J$45*(1-$M$45))+(O5*$J$45*4))+((O5*O16*$J$46*(1-$M$46))+(O5*$J$46*4))+((O5*O16*$J$47*(1-$M$47))+(O5*$J$47*4))+((O5*O16*$J$48*(1-$M$48))+(O5*$J$48*4))+((O5*O16*$J$49*(1-$M$49))+(O5*$J$49*4))+((O5*O16*$J$50*(1-$M$50))+(O5*$J$50*4))+((O5*O16*$J$51*(1-$M$51))+(O5*$J$51*4))+((O5*O16*$J$52*(1-$M$52))+(O5*$J$52*4))+((O5*O16*$J$53*(1-$M$53))+(O5*$J$53*4))+((O5*O16*$J$54*(1-$M$54))+(O5*$J$54*4))</f>
        <v>44507.519999999997</v>
      </c>
      <c r="P27" s="137">
        <f>((P5*P16*$J$35*(1-$M$35))+(P5*$J$35*4))+((P5*P16*$J$36*(1-$M$36))+(P5*$J$36*4))+((P5*P16*$J$37*(1-$M$37))+((P5*$J$37*4))+(P5*P16*$J$38*(1-$M$38))+(P5*$J$38*4))+((P5*P16*$J$39*(1-$M$39))+(P5*$J$39*4))+((P5*P16*$J$40*(1-$M$40))+(P5*$J$40*4))+((P5*P16*$J$41*(1-$M$41))+(P5*$J$41*4))+((P5*P16*$J$42*(1-$M$42))+(P5*$J$42*4))+((P5*P16*$J$43*(1-$M$43))+(P5*$J$43*4))+((P5*P16*$J$44*(1-$M$44))+(P5*$J$44*4))+((P5*P16*$J$45*(1-$M$45))+(P5*$J$45*4))+((P5*P16*$J$46*(1-$M$46))+(P5*$J$46*4))+((P5*P16*$J$47*(1-$M$47))+(P5*$J$47*4))+((P5*P16*$J$48*(1-$M$48))+(P5*$J$48*4))+((P5*P16*$J$49*(1-$M$49))+(P5*$J$49*4))+((P5*P16*$J$50*(1-$M$50))+(P5*$J$50*4))+((P5*P16*$J$51*(1-$M$51))+(P5*$J$51*4))+((P5*P16*$J$52*(1-$M$52))+(P5*$J$52*4))+((P5*P16*$J$53*(1-$M$53))+(P5*$J$53*4))+((P5*P16*$J$54*(1-$M$54))+(P5*$J$54*4))</f>
        <v>11126.879999999997</v>
      </c>
      <c r="Q27" s="137">
        <f>((Q5*Q16*$J$35*(1-$N$35))+(Q5*$J$35*4))+((Q5*Q16*$J$36*(1-$N$36))+(Q5*$J$36*4))+((Q5*Q16*$J$37*(1-$N$37))+((Q5*$J$37*4))+(Q5*Q16*$J$38*(1-$N$38))+(Q5*$J$38*4))+((Q5*Q16*$J$39*(1-$N$39))+(Q5*$J$39*4))+((Q5*Q16*$J$40*(1-$N$40))+(Q5*$J$40*4))+((Q5*Q16*$J$41*(1-$N$41))+(Q5*$J$41*4))+((Q5*Q16*$J$42*(1-$N$42))+(Q5*$J$42*4))+((Q5*Q16*$J$43*(1-$N$43))+(Q5*$J$43*4))+((Q5*Q16*$J$44*(1-$N$44))+(Q5*$J$44*4))+((Q5*Q16*$J$45*(1-$N$45))+(Q5*$J$45*4))+((Q5*Q16*$J$46*(1-$N$46))+(Q5*$J$46*4))+((Q5*Q16*$J$47*(1-$N$47))+(Q5*$J$47*4))+((Q5*Q16*$J$48*(1-$N$48))+(Q5*$J$48*4))+((Q5*Q16*$J$49*(1-$N$49))+(Q5*$J$49*4))+((Q5*Q16*$J$50*(1-$N$50))+(Q5*$J$50*4))+((Q5*Q16*$J$51*(1-$N$51))+(Q5*$J$51*4))+((Q5*Q16*$J$52*(1-$N$52))+(Q5*$J$52*4))+((Q5*Q16*$J$53*(1-$N$53))+(Q5*$J$53*4))+((Q5*Q16*$J$54*(1-$N$54))+(Q5*$J$54*4))</f>
        <v>2766.9759999999997</v>
      </c>
      <c r="R27" s="137">
        <f>((R5*R16*$J$35*(1-$N$35))+(R5*$J$35*4))+((R5*R16*$J$36*(1-$N$36))+(R5*$J$36*4))+((R5*R16*$J$37*(1-$N$37))+((R5*$J$37*4))+(R5*R16*$J$38*(1-$N$38))+(R5*$J$38*4))+((R5*R16*$J$39*(1-$N$39))+(R5*$J$39*4))+((R5*R16*$J$40*(1-$N$40))+(R5*$J$40*4))+((R5*R16*$J$41*(1-$N$41))+(R5*$J$41*4))+((R5*R16*$J$42*(1-$N$42))+(R5*$J$42*4))+((R5*R16*$J$43*(1-$N$43))+(R5*$J$43*4))+((R5*R16*$J$44*(1-$N$44))+(R5*$J$44*4))+((R5*R16*$J$45*(1-$N$45))+(R5*$J$45*4))+((R5*R16*$J$46*(1-$N$46))+(R5*$J$46*4))+((R5*R16*$J$47*(1-$N$47))+(R5*$J$47*4))+((R5*R16*$J$48*(1-$N$48))+(R5*$J$48*4))+((R5*R16*$J$49*(1-$N$49))+(R5*$J$49*4))+((R5*R16*$J$50*(1-$N$50))+(R5*$J$50*4))+((R5*R16*$J$51*(1-$N$51))+(R5*$J$51*4))+((R5*R16*$J$52*(1-$N$52))+(R5*$J$52*4))+((R5*R16*$J$53*(1-$N$53))+(R5*$J$53*4))+((R5*R16*$J$54*(1-$N$54))+(R5*$J$54*4))</f>
        <v>1430.3684999999998</v>
      </c>
      <c r="S27" s="137">
        <f>((S5*S16*$J$35*(1-$N$35))+(S5*$J$35*4))+((S5*S16*$J$36*(1-$N$36))+(S5*$J$36*4))+((S5*S16*$J$37*(1-$N$37))+((S5*$J$37*4))+(S5*S16*$J$38*(1-$N$38))+(S5*$J$38*4))+((S5*S16*$J$39*(1-$N$39))+(S5*$J$39*4))+((S5*S16*$J$40*(1-$N$40))+(S5*$J$40*4))+((S5*S16*$J$41*(1-$N$41))+(S5*$J$41*4))+((S5*S16*$J$42*(1-$N$42))+(S5*$J$42*4))+((S5*S16*$J$43*(1-$N$43))+(S5*$J$43*4))+((S5*S16*$J$44*(1-$N$44))+(S5*$J$44*4))+((S5*S16*$J$45*(1-$N$45))+(S5*$J$45*4))+((S5*S16*$J$46*(1-$N$46))+(S5*$J$46*4))+((S5*S16*$J$47*(1-$N$47))+(S5*$J$47*4))+((S5*S16*$J$48*(1-$N$48))+(S5*$J$48*4))+((S5*S16*$J$49*(1-$N$49))+(S5*$J$49*4))+((S5*S16*$J$50*(1-$N$50))+(S5*$J$50*4))+((S5*S16*$J$51*(1-$N$51))+(S5*$J$51*4))+((S5*S16*$J$52*(1-$N$52))+(S5*$J$52*4))+((S5*S16*$J$53*(1-$N$53))+(S5*$J$53*4))+((S5*S16*$J$54*(1-$N$54))+(S5*$J$54*4))</f>
        <v>7676.7060000000001</v>
      </c>
      <c r="T27" s="137">
        <f>((T5*T16*$J$35*(1-$N$35))+(T5*$J$35*4))+((T5*T16*$J$36*(1-$N$36))+(T5*$J$36*4))+((T5*T16*$J$37*(1-$N$37))+((T5*$J$37*4))+(T5*T16*$J$38*(1-$N$38))+(T5*$J$38*4))+((T5*T16*$J$39*(1-$N$39))+(T5*$J$39*4))+((T5*T16*$J$40*(1-$N$40))+(T5*$J$40*4))+((T5*T16*$J$41*(1-$N$41))+(T5*$J$41*4))+((T5*T16*$J$42*(1-$N$42))+(T5*$J$42*4))+((T5*T16*$J$43*(1-$N$43))+(T5*$J$43*4))+((T5*T16*$J$44*(1-$N$44))+(T5*$J$44*4))+((T5*T16*$J$45*(1-$N$45))+(T5*$J$45*4))+((T5*T16*$J$46*(1-$N$46))+(T5*$J$46*4))+((T5*T16*$J$47*(1-$N$47))+(T5*$J$47*4))+((T5*T16*$J$48*(1-$N$48))+(T5*$J$48*4))+((T5*T16*$J$49*(1-$N$49))+(T5*$J$49*4))+((T5*T16*$J$50*(1-$N$50))+(T5*$J$50*4))+((T5*T16*$J$51*(1-$N$51))+(T5*$J$51*4))+((T5*T16*$J$52*(1-$N$52))+(T5*$J$52*4))+((T5*T16*$J$53*(1-$N$53))+(T5*$J$53*4))+((T5*T16*$J$54*(1-$N$54))+(T5*$J$54*4))</f>
        <v>5182.5749999999998</v>
      </c>
      <c r="U27" s="137">
        <f>((U5*U16*$J$35*(1-$N$35))+(U5*$J$35*4))+((U5*U16*$J$36*(1-$N$36))+(U5*$J$36*4))+((U5*U16*$J$37*(1-$N$37))+((U5*$J$37*4))+(U5*U16*$J$38*(1-$N$38))+(U5*$J$38*4))+((U5*U16*$J$39*(1-$N$39))+(U5*$J$39*4))+((U5*U16*$J$40*(1-$N$40))+(U5*$J$40*4))+((U5*U16*$J$41*(1-$N$41))+(U5*$J$41*4))+((U5*U16*$J$42*(1-$N$42))+(U5*$J$42*4))+((U5*U16*$J$43*(1-$N$43))+(U5*$J$43*4))+((U5*U16*$J$44*(1-$N$44))+(U5*$J$44*4))+((U5*U16*$J$45*(1-$N$45))+(U5*$J$45*4))+((U5*U16*$J$46*(1-$N$46))+(U5*$J$46*4))+((U5*U16*$J$47*(1-$N$47))+(U5*$J$47*4))+((U5*U16*$J$48*(1-$N$48))+(U5*$J$48*4))+((U5*U16*$J$49*(1-$N$49))+(U5*$J$49*4))+((U5*U16*$J$50*(1-$N$50))+(U5*$J$50*4))+((U5*U16*$J$51*(1-$N$51))+(U5*$J$51*4))+((U5*U16*$J$52*(1-$N$52))+(U5*$J$52*4))+((U5*U16*$J$53*(1-$N$53))+(U5*$J$53*4))+((U5*U16*$J$54*(1-$N$54))+(U5*$J$54*4))</f>
        <v>11342.766</v>
      </c>
    </row>
    <row r="28" spans="1:21" s="98" customFormat="1" x14ac:dyDescent="0.3">
      <c r="B28" s="136" t="s">
        <v>697</v>
      </c>
      <c r="C28" s="89">
        <f>SUM(C27:K27)</f>
        <v>132557.02187499998</v>
      </c>
      <c r="D28" s="137"/>
      <c r="E28" s="137"/>
      <c r="F28" s="137"/>
      <c r="G28" s="137"/>
      <c r="H28" s="137"/>
      <c r="I28" s="137"/>
      <c r="J28" s="137"/>
      <c r="K28" s="137"/>
      <c r="L28" s="107"/>
      <c r="M28" s="89">
        <f>SUM(M27:U27)</f>
        <v>160412.99150000003</v>
      </c>
      <c r="N28" s="103"/>
      <c r="O28" s="103"/>
      <c r="P28" s="103"/>
      <c r="Q28" s="103"/>
      <c r="R28" s="103"/>
      <c r="S28" s="103"/>
      <c r="T28" s="103"/>
      <c r="U28" s="103"/>
    </row>
    <row r="29" spans="1:21" s="98" customFormat="1" x14ac:dyDescent="0.3">
      <c r="B29" s="136"/>
      <c r="C29" s="137"/>
      <c r="D29" s="137"/>
      <c r="E29" s="137"/>
      <c r="F29" s="137"/>
      <c r="G29" s="137"/>
      <c r="H29" s="137"/>
      <c r="I29" s="137"/>
      <c r="J29" s="137"/>
      <c r="K29" s="137"/>
      <c r="L29" s="107"/>
      <c r="M29" s="137"/>
      <c r="N29" s="103"/>
      <c r="O29" s="103"/>
      <c r="P29" s="103"/>
      <c r="Q29" s="103"/>
      <c r="R29" s="103"/>
      <c r="S29" s="103"/>
      <c r="T29" s="103"/>
      <c r="U29" s="103"/>
    </row>
    <row r="30" spans="1:21" s="98" customFormat="1" x14ac:dyDescent="0.3">
      <c r="B30" s="136"/>
      <c r="C30" s="137"/>
      <c r="D30" s="137"/>
      <c r="E30" s="137"/>
      <c r="F30" s="137"/>
      <c r="G30" s="137"/>
      <c r="H30" s="137"/>
      <c r="I30" s="137"/>
      <c r="J30" s="137"/>
      <c r="K30" s="137"/>
      <c r="L30" s="107"/>
      <c r="M30" s="137"/>
      <c r="N30" s="103"/>
      <c r="O30" s="103"/>
      <c r="P30" s="103"/>
      <c r="Q30" s="103"/>
      <c r="R30" s="103"/>
      <c r="S30" s="103"/>
      <c r="T30" s="103"/>
      <c r="U30" s="103"/>
    </row>
    <row r="31" spans="1:21" s="98" customFormat="1" x14ac:dyDescent="0.3">
      <c r="B31" s="126"/>
      <c r="C31" s="103"/>
      <c r="D31" s="103"/>
      <c r="E31" s="103"/>
      <c r="F31" s="103"/>
      <c r="G31" s="103"/>
      <c r="H31" s="103"/>
      <c r="I31" s="103"/>
      <c r="J31" s="103"/>
      <c r="K31" s="103"/>
      <c r="M31" s="103"/>
      <c r="N31" s="103"/>
      <c r="O31" s="103"/>
      <c r="P31" s="103"/>
      <c r="Q31" s="103"/>
      <c r="R31" s="103"/>
      <c r="S31" s="103"/>
      <c r="T31" s="103"/>
      <c r="U31" s="103"/>
    </row>
    <row r="32" spans="1:21" s="98" customFormat="1" x14ac:dyDescent="0.3">
      <c r="B32" s="126"/>
      <c r="C32" s="308" t="s">
        <v>677</v>
      </c>
      <c r="D32" s="309"/>
      <c r="E32" s="309"/>
      <c r="F32" s="309"/>
      <c r="G32" s="310"/>
      <c r="H32" s="312" t="s">
        <v>678</v>
      </c>
      <c r="I32" s="313"/>
      <c r="J32" s="313"/>
      <c r="K32" s="313"/>
      <c r="L32" s="314"/>
      <c r="M32" s="103"/>
    </row>
    <row r="33" spans="2:14" x14ac:dyDescent="0.3">
      <c r="D33" s="277" t="s">
        <v>583</v>
      </c>
      <c r="E33" s="277"/>
      <c r="F33" s="277"/>
      <c r="G33" s="277"/>
      <c r="I33" s="277" t="s">
        <v>676</v>
      </c>
      <c r="J33" s="277"/>
      <c r="K33" s="311" t="s">
        <v>684</v>
      </c>
      <c r="L33" s="311"/>
      <c r="M33" s="277" t="s">
        <v>693</v>
      </c>
      <c r="N33" s="277"/>
    </row>
    <row r="34" spans="2:14" s="98" customFormat="1" x14ac:dyDescent="0.3">
      <c r="B34" s="100" t="s">
        <v>586</v>
      </c>
      <c r="C34" s="129" t="s">
        <v>286</v>
      </c>
      <c r="D34" s="100" t="s">
        <v>30</v>
      </c>
      <c r="E34" s="100" t="s">
        <v>588</v>
      </c>
      <c r="F34" s="100" t="s">
        <v>33</v>
      </c>
      <c r="G34" s="100" t="s">
        <v>588</v>
      </c>
      <c r="H34" s="100" t="s">
        <v>595</v>
      </c>
      <c r="I34" s="100" t="s">
        <v>30</v>
      </c>
      <c r="J34" s="100" t="s">
        <v>33</v>
      </c>
      <c r="K34" s="100" t="s">
        <v>685</v>
      </c>
      <c r="L34" s="100" t="s">
        <v>686</v>
      </c>
      <c r="M34" s="100" t="s">
        <v>685</v>
      </c>
      <c r="N34" s="100" t="s">
        <v>686</v>
      </c>
    </row>
    <row r="35" spans="2:14" s="98" customFormat="1" x14ac:dyDescent="0.3">
      <c r="B35" s="98" t="str">
        <f>MANURE!A15&amp;"/"&amp;MANURE!$B$11</f>
        <v>Pasture/Range/Paddock/18</v>
      </c>
      <c r="C35" s="98">
        <f t="shared" ref="C35:C54" si="18">LOOKUP(B35,$B$73:$B$433,$C$73:$C$433)</f>
        <v>1.5</v>
      </c>
      <c r="D35" s="98">
        <f>MANURE!B15</f>
        <v>0</v>
      </c>
      <c r="E35" s="98">
        <f t="shared" ref="E35:E40" si="19">(C35/100)*(D35/100)</f>
        <v>0</v>
      </c>
      <c r="F35" s="98">
        <f>MANURE!C15</f>
        <v>0</v>
      </c>
      <c r="G35" s="98">
        <f t="shared" ref="G35:G54" si="20">(C35/100)*(F35/100)</f>
        <v>0</v>
      </c>
      <c r="H35" s="151">
        <f>LOOKUP(B35,$B$73:$B$433,$D$73:$D$433)</f>
        <v>0.02</v>
      </c>
      <c r="I35" s="98">
        <f>MANURE!B15/100</f>
        <v>0</v>
      </c>
      <c r="J35" s="98">
        <f>MANURE!C15/100</f>
        <v>0</v>
      </c>
      <c r="K35" s="98">
        <v>0</v>
      </c>
      <c r="L35" s="98">
        <v>0</v>
      </c>
      <c r="M35" s="98">
        <v>0</v>
      </c>
      <c r="N35" s="98">
        <v>0</v>
      </c>
    </row>
    <row r="36" spans="2:14" s="98" customFormat="1" x14ac:dyDescent="0.3">
      <c r="B36" s="98" t="str">
        <f>MANURE!A16&amp;"/"&amp;MANURE!$B$11</f>
        <v>Daily Spread/18</v>
      </c>
      <c r="C36" s="98">
        <f t="shared" si="18"/>
        <v>0.5</v>
      </c>
      <c r="D36" s="98">
        <f>MANURE!B16</f>
        <v>0</v>
      </c>
      <c r="E36" s="98">
        <f t="shared" si="19"/>
        <v>0</v>
      </c>
      <c r="F36" s="98">
        <f>MANURE!C16</f>
        <v>0</v>
      </c>
      <c r="G36" s="98">
        <f t="shared" si="20"/>
        <v>0</v>
      </c>
      <c r="H36" s="98">
        <f t="shared" ref="H36:H54" si="21">LOOKUP(B36,$B$73:$B$433,$D$73:$D$433)</f>
        <v>0</v>
      </c>
      <c r="I36" s="98">
        <f>MANURE!B16/100</f>
        <v>0</v>
      </c>
      <c r="J36" s="98">
        <f>MANURE!C16/100</f>
        <v>0</v>
      </c>
      <c r="K36" s="98">
        <v>7.0000000000000007E-2</v>
      </c>
      <c r="L36" s="98">
        <v>0</v>
      </c>
      <c r="M36" s="98">
        <v>0.22</v>
      </c>
      <c r="N36" s="98">
        <v>0.22</v>
      </c>
    </row>
    <row r="37" spans="2:14" s="98" customFormat="1" x14ac:dyDescent="0.3">
      <c r="B37" s="98" t="str">
        <f>MANURE!A17&amp;"/"&amp;MANURE!$B$11</f>
        <v>Solid Storage/18</v>
      </c>
      <c r="C37" s="98">
        <f t="shared" si="18"/>
        <v>4</v>
      </c>
      <c r="D37" s="98">
        <f>MANURE!B17</f>
        <v>100</v>
      </c>
      <c r="E37" s="98">
        <f t="shared" si="19"/>
        <v>0.04</v>
      </c>
      <c r="F37" s="98">
        <f>MANURE!C17</f>
        <v>0</v>
      </c>
      <c r="G37" s="98">
        <f t="shared" si="20"/>
        <v>0</v>
      </c>
      <c r="H37" s="98">
        <f t="shared" si="21"/>
        <v>5.0000000000000001E-3</v>
      </c>
      <c r="I37" s="98">
        <f>MANURE!B17/100</f>
        <v>1</v>
      </c>
      <c r="J37" s="98">
        <f>MANURE!C17/100</f>
        <v>0</v>
      </c>
      <c r="K37" s="98">
        <v>0.3</v>
      </c>
      <c r="L37" s="98">
        <v>0.45</v>
      </c>
      <c r="M37" s="98">
        <v>0.4</v>
      </c>
      <c r="N37" s="98">
        <v>0.5</v>
      </c>
    </row>
    <row r="38" spans="2:14" s="98" customFormat="1" x14ac:dyDescent="0.3">
      <c r="B38" s="98" t="str">
        <f>MANURE!A18&amp;"/"&amp;MANURE!$B$11</f>
        <v>Dry Lot/18</v>
      </c>
      <c r="C38" s="98">
        <f t="shared" si="18"/>
        <v>1.5</v>
      </c>
      <c r="D38" s="98">
        <f>MANURE!B18</f>
        <v>0</v>
      </c>
      <c r="E38" s="98">
        <f t="shared" si="19"/>
        <v>0</v>
      </c>
      <c r="F38" s="98">
        <f>MANURE!C18</f>
        <v>0</v>
      </c>
      <c r="G38" s="98">
        <f t="shared" si="20"/>
        <v>0</v>
      </c>
      <c r="H38" s="98">
        <f t="shared" si="21"/>
        <v>0.02</v>
      </c>
      <c r="I38" s="98">
        <f>MANURE!B18/100</f>
        <v>0</v>
      </c>
      <c r="J38" s="98">
        <f>MANURE!C18/100</f>
        <v>0</v>
      </c>
      <c r="K38" s="98">
        <v>0.2</v>
      </c>
      <c r="L38" s="98">
        <v>0.3</v>
      </c>
      <c r="M38" s="98">
        <v>0.3</v>
      </c>
      <c r="N38" s="98">
        <v>0.4</v>
      </c>
    </row>
    <row r="39" spans="2:14" s="98" customFormat="1" x14ac:dyDescent="0.3">
      <c r="B39" s="98" t="str">
        <f>MANURE!A19&amp;"/"&amp;MANURE!$B$11</f>
        <v>Liquid/Slurry with crust/18</v>
      </c>
      <c r="C39" s="98">
        <f t="shared" si="18"/>
        <v>22</v>
      </c>
      <c r="D39" s="98">
        <f>MANURE!B19</f>
        <v>0</v>
      </c>
      <c r="E39" s="98">
        <f t="shared" si="19"/>
        <v>0</v>
      </c>
      <c r="F39" s="98">
        <f>MANURE!C19</f>
        <v>0</v>
      </c>
      <c r="G39" s="98">
        <f t="shared" si="20"/>
        <v>0</v>
      </c>
      <c r="H39" s="98">
        <f t="shared" si="21"/>
        <v>5.0000000000000001E-3</v>
      </c>
      <c r="I39" s="98">
        <f>MANURE!B19/100</f>
        <v>0</v>
      </c>
      <c r="J39" s="98">
        <f>MANURE!C19/100</f>
        <v>0</v>
      </c>
      <c r="K39" s="98">
        <v>0.4</v>
      </c>
      <c r="L39" s="98">
        <v>0.4</v>
      </c>
      <c r="M39" s="98">
        <v>0.4</v>
      </c>
      <c r="N39" s="98">
        <v>0.4</v>
      </c>
    </row>
    <row r="40" spans="2:14" s="98" customFormat="1" x14ac:dyDescent="0.3">
      <c r="B40" s="98" t="str">
        <f>MANURE!A20&amp;"/"&amp;MANURE!$B$11</f>
        <v>Liquid/Slurry without crust/18</v>
      </c>
      <c r="C40" s="98">
        <f t="shared" si="18"/>
        <v>35</v>
      </c>
      <c r="D40" s="98">
        <f>MANURE!B20</f>
        <v>0</v>
      </c>
      <c r="E40" s="98">
        <f t="shared" si="19"/>
        <v>0</v>
      </c>
      <c r="F40" s="98">
        <f>MANURE!C20</f>
        <v>0</v>
      </c>
      <c r="G40" s="98">
        <f t="shared" si="20"/>
        <v>0</v>
      </c>
      <c r="H40" s="98">
        <f t="shared" si="21"/>
        <v>0</v>
      </c>
      <c r="I40" s="98">
        <f>MANURE!B20/100</f>
        <v>0</v>
      </c>
      <c r="J40" s="98">
        <f>MANURE!C20/100</f>
        <v>0</v>
      </c>
      <c r="K40" s="98">
        <v>0.4</v>
      </c>
      <c r="L40" s="98">
        <v>0.4</v>
      </c>
      <c r="M40" s="98">
        <v>0.4</v>
      </c>
      <c r="N40" s="98">
        <v>0.4</v>
      </c>
    </row>
    <row r="41" spans="2:14" s="98" customFormat="1" x14ac:dyDescent="0.3">
      <c r="B41" s="98" t="str">
        <f>MANURE!A21&amp;"/"&amp;MANURE!$B$11</f>
        <v>Uncovered anaerobic lagoon/18</v>
      </c>
      <c r="C41" s="98">
        <f t="shared" si="18"/>
        <v>77</v>
      </c>
      <c r="D41" s="98">
        <f>MANURE!B21</f>
        <v>0</v>
      </c>
      <c r="E41" s="98">
        <f t="shared" ref="E41:E43" si="22">(C41/100)*(D41/100)</f>
        <v>0</v>
      </c>
      <c r="F41" s="98">
        <f>MANURE!C21</f>
        <v>0</v>
      </c>
      <c r="G41" s="98">
        <f t="shared" si="20"/>
        <v>0</v>
      </c>
      <c r="H41" s="98">
        <f t="shared" si="21"/>
        <v>0</v>
      </c>
      <c r="I41" s="98">
        <f>MANURE!B21/100</f>
        <v>0</v>
      </c>
      <c r="J41" s="98">
        <f>MANURE!C21/100</f>
        <v>0</v>
      </c>
      <c r="K41" s="98">
        <v>0.35</v>
      </c>
      <c r="L41" s="98">
        <v>0.35</v>
      </c>
      <c r="M41" s="98">
        <v>0.77</v>
      </c>
      <c r="N41" s="98">
        <v>0.77</v>
      </c>
    </row>
    <row r="42" spans="2:14" s="98" customFormat="1" x14ac:dyDescent="0.3">
      <c r="B42" s="98" t="str">
        <f>MANURE!A22&amp;"/"&amp;MANURE!$B$11</f>
        <v>Pit storage &lt;1 month/18</v>
      </c>
      <c r="C42" s="98">
        <f t="shared" si="18"/>
        <v>3</v>
      </c>
      <c r="D42" s="98">
        <f>MANURE!B22</f>
        <v>0</v>
      </c>
      <c r="E42" s="98">
        <f>(C42/100)*(D42/100)</f>
        <v>0</v>
      </c>
      <c r="F42" s="98">
        <f>MANURE!C22</f>
        <v>100</v>
      </c>
      <c r="G42" s="98">
        <f t="shared" si="20"/>
        <v>0.03</v>
      </c>
      <c r="H42" s="98">
        <f t="shared" si="21"/>
        <v>2E-3</v>
      </c>
      <c r="I42" s="98">
        <f>MANURE!B22/100</f>
        <v>0</v>
      </c>
      <c r="J42" s="98">
        <f>MANURE!C22/100</f>
        <v>1</v>
      </c>
      <c r="K42" s="98">
        <v>0.28000000000000003</v>
      </c>
      <c r="L42" s="98">
        <v>0.28000000000000003</v>
      </c>
      <c r="M42" s="98">
        <v>0.28000000000000003</v>
      </c>
      <c r="N42" s="98">
        <v>0.28000000000000003</v>
      </c>
    </row>
    <row r="43" spans="2:14" x14ac:dyDescent="0.3">
      <c r="B43" s="98" t="str">
        <f>MANURE!A23&amp;"/"&amp;MANURE!$B$11</f>
        <v>Pit storage &gt;1 month/18</v>
      </c>
      <c r="C43" s="98">
        <f t="shared" si="18"/>
        <v>35</v>
      </c>
      <c r="D43" s="98">
        <f>MANURE!B23</f>
        <v>0</v>
      </c>
      <c r="E43" s="98">
        <f t="shared" si="22"/>
        <v>0</v>
      </c>
      <c r="F43" s="98">
        <f>MANURE!C23</f>
        <v>0</v>
      </c>
      <c r="G43" s="98">
        <f t="shared" si="20"/>
        <v>0</v>
      </c>
      <c r="H43" s="98">
        <f t="shared" si="21"/>
        <v>2E-3</v>
      </c>
      <c r="I43" s="98">
        <f>MANURE!B23/100</f>
        <v>0</v>
      </c>
      <c r="J43" s="98">
        <f>MANURE!C23/100</f>
        <v>0</v>
      </c>
      <c r="K43">
        <v>0.28000000000000003</v>
      </c>
      <c r="L43">
        <v>0.28000000000000003</v>
      </c>
      <c r="M43">
        <v>0.28000000000000003</v>
      </c>
      <c r="N43">
        <v>0.28000000000000003</v>
      </c>
    </row>
    <row r="44" spans="2:14" s="98" customFormat="1" x14ac:dyDescent="0.3">
      <c r="B44" s="98" t="str">
        <f>MANURE!A24&amp;"/"&amp;MANURE!$B$11</f>
        <v>Anaerobic digester/18</v>
      </c>
      <c r="C44" s="98">
        <f t="shared" si="18"/>
        <v>0</v>
      </c>
      <c r="D44" s="98">
        <f>MANURE!B24</f>
        <v>0</v>
      </c>
      <c r="E44" s="98">
        <f t="shared" ref="E44:E54" si="23">(C44/100)*(D44/100)</f>
        <v>0</v>
      </c>
      <c r="F44" s="98">
        <f>MANURE!C24</f>
        <v>0</v>
      </c>
      <c r="G44" s="98">
        <f t="shared" si="20"/>
        <v>0</v>
      </c>
      <c r="H44" s="98">
        <f t="shared" si="21"/>
        <v>5.0000000000000001E-3</v>
      </c>
      <c r="I44" s="98">
        <f>MANURE!B24/100</f>
        <v>0</v>
      </c>
      <c r="J44" s="98">
        <f>MANURE!C24/100</f>
        <v>0</v>
      </c>
      <c r="K44" s="98">
        <v>0</v>
      </c>
      <c r="L44" s="98">
        <v>0</v>
      </c>
      <c r="M44" s="98">
        <v>0</v>
      </c>
      <c r="N44" s="98">
        <v>0</v>
      </c>
    </row>
    <row r="45" spans="2:14" s="98" customFormat="1" x14ac:dyDescent="0.3">
      <c r="B45" s="98" t="str">
        <f>MANURE!A25&amp;"/"&amp;MANURE!$B$11</f>
        <v>Burned for fuel/18</v>
      </c>
      <c r="C45" s="98">
        <f t="shared" si="18"/>
        <v>10</v>
      </c>
      <c r="D45" s="98">
        <f>MANURE!B25</f>
        <v>0</v>
      </c>
      <c r="E45" s="98">
        <f t="shared" si="23"/>
        <v>0</v>
      </c>
      <c r="F45" s="98">
        <f>MANURE!C25</f>
        <v>0</v>
      </c>
      <c r="G45" s="98">
        <f t="shared" si="20"/>
        <v>0</v>
      </c>
      <c r="H45" s="98">
        <f t="shared" si="21"/>
        <v>0</v>
      </c>
      <c r="I45" s="98">
        <f>MANURE!B25/100</f>
        <v>0</v>
      </c>
      <c r="J45" s="98">
        <f>MANURE!C25/100</f>
        <v>0</v>
      </c>
      <c r="K45" s="98">
        <v>0</v>
      </c>
      <c r="L45" s="98">
        <v>0</v>
      </c>
      <c r="M45" s="98">
        <v>0</v>
      </c>
      <c r="N45" s="98">
        <v>0</v>
      </c>
    </row>
    <row r="46" spans="2:14" s="98" customFormat="1" x14ac:dyDescent="0.3">
      <c r="B46" s="98" t="str">
        <f>MANURE!A26&amp;"/"&amp;MANURE!$B$11</f>
        <v>Deep bedding &lt;1 month, no mixing/18</v>
      </c>
      <c r="C46" s="98">
        <f t="shared" si="18"/>
        <v>3</v>
      </c>
      <c r="D46" s="98">
        <f>MANURE!B26</f>
        <v>0</v>
      </c>
      <c r="E46" s="98">
        <f t="shared" si="23"/>
        <v>0</v>
      </c>
      <c r="F46" s="98">
        <f>MANURE!C26</f>
        <v>0</v>
      </c>
      <c r="G46" s="98">
        <f t="shared" si="20"/>
        <v>0</v>
      </c>
      <c r="H46" s="98">
        <f t="shared" si="21"/>
        <v>0.01</v>
      </c>
      <c r="I46" s="98">
        <f>MANURE!B26/100</f>
        <v>0</v>
      </c>
      <c r="J46" s="98">
        <f>MANURE!C26/100</f>
        <v>0</v>
      </c>
      <c r="K46" s="98">
        <v>0.3</v>
      </c>
      <c r="L46" s="98">
        <v>0.3</v>
      </c>
      <c r="M46" s="98">
        <v>0.4</v>
      </c>
      <c r="N46" s="98">
        <v>0.4</v>
      </c>
    </row>
    <row r="47" spans="2:14" s="98" customFormat="1" x14ac:dyDescent="0.3">
      <c r="B47" s="98" t="str">
        <f>MANURE!A27&amp;"/"&amp;MANURE!$B$11</f>
        <v>Deep bedding &lt;1 month, active mixing/18</v>
      </c>
      <c r="C47" s="98">
        <f t="shared" si="18"/>
        <v>3</v>
      </c>
      <c r="D47" s="98">
        <f>MANURE!B27</f>
        <v>0</v>
      </c>
      <c r="E47" s="98">
        <f t="shared" si="23"/>
        <v>0</v>
      </c>
      <c r="F47" s="98">
        <f>MANURE!C27</f>
        <v>0</v>
      </c>
      <c r="G47" s="98">
        <f t="shared" si="20"/>
        <v>0</v>
      </c>
      <c r="H47" s="98">
        <f t="shared" si="21"/>
        <v>7.0000000000000007E-2</v>
      </c>
      <c r="I47" s="98">
        <f>MANURE!B27/100</f>
        <v>0</v>
      </c>
      <c r="J47" s="98">
        <f>MANURE!C27/100</f>
        <v>0</v>
      </c>
      <c r="K47" s="98">
        <v>0.3</v>
      </c>
      <c r="L47" s="98">
        <v>0.3</v>
      </c>
      <c r="M47" s="98">
        <v>0.4</v>
      </c>
      <c r="N47" s="98">
        <v>0.4</v>
      </c>
    </row>
    <row r="48" spans="2:14" s="98" customFormat="1" x14ac:dyDescent="0.3">
      <c r="B48" s="98" t="str">
        <f>MANURE!A28&amp;"/"&amp;MANURE!$B$11</f>
        <v>Deep bedding &gt;1 month, no mixing/18</v>
      </c>
      <c r="C48" s="98">
        <f t="shared" si="18"/>
        <v>35</v>
      </c>
      <c r="D48" s="98">
        <f>MANURE!B28</f>
        <v>0</v>
      </c>
      <c r="E48" s="98">
        <f t="shared" si="23"/>
        <v>0</v>
      </c>
      <c r="F48" s="98">
        <f>MANURE!C28</f>
        <v>0</v>
      </c>
      <c r="G48" s="98">
        <f t="shared" si="20"/>
        <v>0</v>
      </c>
      <c r="H48" s="98">
        <f t="shared" si="21"/>
        <v>0.01</v>
      </c>
      <c r="I48" s="98">
        <f>MANURE!B28/100</f>
        <v>0</v>
      </c>
      <c r="J48" s="98">
        <f>MANURE!C28/100</f>
        <v>0</v>
      </c>
      <c r="K48" s="98">
        <v>0.3</v>
      </c>
      <c r="L48" s="98">
        <v>0.3</v>
      </c>
      <c r="M48" s="98">
        <v>0.4</v>
      </c>
      <c r="N48" s="98">
        <v>0.4</v>
      </c>
    </row>
    <row r="49" spans="2:14" s="98" customFormat="1" x14ac:dyDescent="0.3">
      <c r="B49" s="98" t="str">
        <f>MANURE!A29&amp;"/"&amp;MANURE!$B$11</f>
        <v>Deep bedding &gt;1 month, active mixing/18</v>
      </c>
      <c r="C49" s="98">
        <f t="shared" si="18"/>
        <v>35</v>
      </c>
      <c r="D49" s="98">
        <f>MANURE!B29</f>
        <v>0</v>
      </c>
      <c r="E49" s="98">
        <f t="shared" si="23"/>
        <v>0</v>
      </c>
      <c r="F49" s="98">
        <f>MANURE!C29</f>
        <v>0</v>
      </c>
      <c r="G49" s="98">
        <f t="shared" si="20"/>
        <v>0</v>
      </c>
      <c r="H49" s="98">
        <f t="shared" si="21"/>
        <v>7.0000000000000007E-2</v>
      </c>
      <c r="I49" s="98">
        <f>MANURE!B29/100</f>
        <v>0</v>
      </c>
      <c r="J49" s="98">
        <f>MANURE!C29/100</f>
        <v>0</v>
      </c>
      <c r="K49" s="98">
        <v>0.3</v>
      </c>
      <c r="L49" s="98">
        <v>0.3</v>
      </c>
      <c r="M49" s="98">
        <v>0.4</v>
      </c>
      <c r="N49" s="98">
        <v>0.4</v>
      </c>
    </row>
    <row r="50" spans="2:14" s="98" customFormat="1" x14ac:dyDescent="0.3">
      <c r="B50" s="98" t="str">
        <f>MANURE!A30&amp;"/"&amp;MANURE!$B$11</f>
        <v>Composting - In-Vessel/18</v>
      </c>
      <c r="C50" s="98">
        <f t="shared" si="18"/>
        <v>0.5</v>
      </c>
      <c r="D50" s="98">
        <f>MANURE!B30</f>
        <v>0</v>
      </c>
      <c r="E50" s="98">
        <f t="shared" si="23"/>
        <v>0</v>
      </c>
      <c r="F50" s="98">
        <f>MANURE!C30</f>
        <v>0</v>
      </c>
      <c r="G50" s="98">
        <f t="shared" si="20"/>
        <v>0</v>
      </c>
      <c r="H50" s="98">
        <f t="shared" si="21"/>
        <v>6.0000000000000001E-3</v>
      </c>
      <c r="I50" s="98">
        <f>MANURE!B30/100</f>
        <v>0</v>
      </c>
      <c r="J50" s="98">
        <f>MANURE!C30/100</f>
        <v>0</v>
      </c>
      <c r="K50" s="98">
        <v>0</v>
      </c>
      <c r="L50" s="98">
        <v>0</v>
      </c>
      <c r="M50" s="98">
        <v>0</v>
      </c>
      <c r="N50" s="98">
        <v>0</v>
      </c>
    </row>
    <row r="51" spans="2:14" s="98" customFormat="1" x14ac:dyDescent="0.3">
      <c r="B51" s="98" t="str">
        <f>MANURE!A31&amp;"/"&amp;MANURE!$B$11</f>
        <v>Composting - static pile/18</v>
      </c>
      <c r="C51" s="98">
        <f t="shared" si="18"/>
        <v>0.5</v>
      </c>
      <c r="D51" s="98">
        <f>MANURE!B31</f>
        <v>0</v>
      </c>
      <c r="E51" s="98">
        <f t="shared" si="23"/>
        <v>0</v>
      </c>
      <c r="F51" s="98">
        <f>MANURE!C31</f>
        <v>0</v>
      </c>
      <c r="G51" s="98">
        <f t="shared" si="20"/>
        <v>0</v>
      </c>
      <c r="H51" s="98">
        <f t="shared" si="21"/>
        <v>6.0000000000000001E-3</v>
      </c>
      <c r="I51" s="98">
        <f>MANURE!B31/100</f>
        <v>0</v>
      </c>
      <c r="J51" s="98">
        <f>MANURE!C31/100</f>
        <v>0</v>
      </c>
      <c r="K51" s="98">
        <v>0</v>
      </c>
      <c r="L51" s="98">
        <v>0</v>
      </c>
      <c r="M51" s="98">
        <v>0</v>
      </c>
      <c r="N51" s="98">
        <v>0</v>
      </c>
    </row>
    <row r="52" spans="2:14" x14ac:dyDescent="0.3">
      <c r="B52" s="98" t="str">
        <f>MANURE!A32&amp;"/"&amp;MANURE!$B$11</f>
        <v>Composting - intensive windrow/18</v>
      </c>
      <c r="C52" s="98">
        <f t="shared" si="18"/>
        <v>1</v>
      </c>
      <c r="D52" s="98">
        <f>MANURE!B32</f>
        <v>0</v>
      </c>
      <c r="E52" s="98">
        <f t="shared" si="23"/>
        <v>0</v>
      </c>
      <c r="F52" s="98">
        <f>MANURE!C32</f>
        <v>0</v>
      </c>
      <c r="G52" s="98">
        <f t="shared" si="20"/>
        <v>0</v>
      </c>
      <c r="H52" s="98">
        <f t="shared" si="21"/>
        <v>0.1</v>
      </c>
      <c r="I52" s="98">
        <f>MANURE!B32/100</f>
        <v>0</v>
      </c>
      <c r="J52" s="98">
        <f>MANURE!C32/100</f>
        <v>0</v>
      </c>
      <c r="K52">
        <v>0</v>
      </c>
      <c r="L52">
        <v>0</v>
      </c>
      <c r="M52">
        <v>0</v>
      </c>
      <c r="N52">
        <v>0</v>
      </c>
    </row>
    <row r="53" spans="2:14" s="98" customFormat="1" x14ac:dyDescent="0.3">
      <c r="B53" s="98" t="str">
        <f>MANURE!A33&amp;"/"&amp;MANURE!$B$11</f>
        <v>Composting - passive windrow/18</v>
      </c>
      <c r="C53" s="98">
        <f t="shared" si="18"/>
        <v>1</v>
      </c>
      <c r="D53" s="98">
        <f>MANURE!B33</f>
        <v>0</v>
      </c>
      <c r="E53" s="98">
        <f t="shared" si="23"/>
        <v>0</v>
      </c>
      <c r="F53" s="98">
        <f>MANURE!C33</f>
        <v>0</v>
      </c>
      <c r="G53" s="98">
        <f t="shared" si="20"/>
        <v>0</v>
      </c>
      <c r="H53" s="98">
        <f t="shared" si="21"/>
        <v>0.01</v>
      </c>
      <c r="I53" s="98">
        <f>MANURE!B33/100</f>
        <v>0</v>
      </c>
      <c r="J53" s="98">
        <f>MANURE!C33/100</f>
        <v>0</v>
      </c>
      <c r="K53" s="98">
        <v>0</v>
      </c>
      <c r="L53" s="98">
        <v>0</v>
      </c>
      <c r="M53" s="98">
        <v>0</v>
      </c>
      <c r="N53" s="98">
        <v>0</v>
      </c>
    </row>
    <row r="54" spans="2:14" s="98" customFormat="1" x14ac:dyDescent="0.3">
      <c r="B54" s="98" t="str">
        <f>MANURE!A34&amp;"/"&amp;MANURE!$B$11</f>
        <v>Aerobic treatment/18</v>
      </c>
      <c r="C54" s="98">
        <f t="shared" si="18"/>
        <v>0</v>
      </c>
      <c r="D54" s="98">
        <f>MANURE!B34</f>
        <v>0</v>
      </c>
      <c r="E54" s="98">
        <f t="shared" si="23"/>
        <v>0</v>
      </c>
      <c r="F54" s="98">
        <f>MANURE!C34</f>
        <v>0</v>
      </c>
      <c r="G54" s="98">
        <f t="shared" si="20"/>
        <v>0</v>
      </c>
      <c r="H54" s="98">
        <f t="shared" si="21"/>
        <v>5.0000000000000001E-3</v>
      </c>
      <c r="I54" s="98">
        <f>MANURE!B34/100</f>
        <v>0</v>
      </c>
      <c r="J54" s="98">
        <f>MANURE!C34/100</f>
        <v>0</v>
      </c>
      <c r="K54" s="98">
        <v>0</v>
      </c>
      <c r="L54" s="98">
        <v>0</v>
      </c>
      <c r="M54" s="98">
        <v>0</v>
      </c>
      <c r="N54" s="98">
        <v>0</v>
      </c>
    </row>
    <row r="55" spans="2:14" s="98" customFormat="1" x14ac:dyDescent="0.3">
      <c r="B55" s="100" t="s">
        <v>587</v>
      </c>
      <c r="E55" s="100">
        <f>SUM(E35:E54)</f>
        <v>0.04</v>
      </c>
      <c r="G55" s="100">
        <f>SUM(G35:G54)</f>
        <v>0.03</v>
      </c>
    </row>
    <row r="56" spans="2:14" s="98" customFormat="1" x14ac:dyDescent="0.3">
      <c r="E56" s="100"/>
      <c r="G56" s="100"/>
    </row>
    <row r="57" spans="2:14" s="98" customFormat="1" x14ac:dyDescent="0.3"/>
    <row r="58" spans="2:14" s="98" customFormat="1" x14ac:dyDescent="0.3">
      <c r="E58" s="107"/>
    </row>
    <row r="59" spans="2:14" s="98" customFormat="1" x14ac:dyDescent="0.3">
      <c r="B59" s="100" t="s">
        <v>285</v>
      </c>
      <c r="E59" s="107"/>
      <c r="H59" s="100" t="s">
        <v>17</v>
      </c>
    </row>
    <row r="60" spans="2:14" ht="43.2" x14ac:dyDescent="0.3">
      <c r="B60" s="100" t="s">
        <v>28</v>
      </c>
      <c r="C60" s="100" t="s">
        <v>282</v>
      </c>
      <c r="D60" s="100" t="s">
        <v>283</v>
      </c>
      <c r="E60" s="70" t="s">
        <v>593</v>
      </c>
      <c r="F60" s="70" t="s">
        <v>594</v>
      </c>
      <c r="H60" s="126" t="s">
        <v>584</v>
      </c>
    </row>
    <row r="61" spans="2:14" x14ac:dyDescent="0.3">
      <c r="B61" t="s">
        <v>23</v>
      </c>
      <c r="C61">
        <v>0.13</v>
      </c>
      <c r="D61">
        <v>0.1</v>
      </c>
      <c r="E61">
        <v>0.6</v>
      </c>
      <c r="F61">
        <v>0.63</v>
      </c>
      <c r="H61" s="128">
        <v>11</v>
      </c>
    </row>
    <row r="62" spans="2:14" x14ac:dyDescent="0.3">
      <c r="B62" t="s">
        <v>25</v>
      </c>
      <c r="C62" s="98">
        <v>0.13</v>
      </c>
      <c r="D62">
        <v>0.1</v>
      </c>
      <c r="E62">
        <v>0.47</v>
      </c>
      <c r="F62">
        <v>0.34</v>
      </c>
      <c r="H62" s="128">
        <v>12</v>
      </c>
    </row>
    <row r="63" spans="2:14" x14ac:dyDescent="0.3">
      <c r="B63" t="s">
        <v>20</v>
      </c>
      <c r="C63" s="98">
        <v>0.24</v>
      </c>
      <c r="D63">
        <v>0.17</v>
      </c>
      <c r="E63">
        <v>0.35</v>
      </c>
      <c r="F63">
        <v>0.35</v>
      </c>
      <c r="H63" s="128">
        <v>13</v>
      </c>
    </row>
    <row r="64" spans="2:14" x14ac:dyDescent="0.3">
      <c r="B64" t="s">
        <v>26</v>
      </c>
      <c r="C64" s="98">
        <v>0.13</v>
      </c>
      <c r="D64">
        <v>0.1</v>
      </c>
      <c r="E64">
        <v>0.47</v>
      </c>
      <c r="F64">
        <v>0.34</v>
      </c>
      <c r="H64" s="128">
        <v>14</v>
      </c>
    </row>
    <row r="65" spans="2:8" x14ac:dyDescent="0.3">
      <c r="B65" t="s">
        <v>22</v>
      </c>
      <c r="C65">
        <v>0.13</v>
      </c>
      <c r="D65">
        <v>0.1</v>
      </c>
      <c r="E65">
        <v>0.48</v>
      </c>
      <c r="F65">
        <v>0.36</v>
      </c>
      <c r="H65" s="128">
        <v>15</v>
      </c>
    </row>
    <row r="66" spans="2:8" x14ac:dyDescent="0.3">
      <c r="B66" t="s">
        <v>24</v>
      </c>
      <c r="C66" s="98">
        <v>0.13</v>
      </c>
      <c r="D66" s="98">
        <v>0.1</v>
      </c>
      <c r="E66">
        <v>0.7</v>
      </c>
      <c r="F66">
        <v>0.79</v>
      </c>
      <c r="H66" s="128">
        <v>16</v>
      </c>
    </row>
    <row r="67" spans="2:8" x14ac:dyDescent="0.3">
      <c r="B67" t="s">
        <v>18</v>
      </c>
      <c r="C67" s="98">
        <v>0.24</v>
      </c>
      <c r="D67" s="98">
        <v>0.19</v>
      </c>
      <c r="E67">
        <v>0.44</v>
      </c>
      <c r="F67">
        <v>0.31</v>
      </c>
      <c r="H67" s="128">
        <v>17</v>
      </c>
    </row>
    <row r="68" spans="2:8" x14ac:dyDescent="0.3">
      <c r="B68" t="s">
        <v>21</v>
      </c>
      <c r="C68" s="98">
        <v>0.24</v>
      </c>
      <c r="D68" s="98">
        <v>0.17</v>
      </c>
      <c r="E68">
        <v>0.44</v>
      </c>
      <c r="F68">
        <v>0.5</v>
      </c>
      <c r="H68" s="128">
        <v>18</v>
      </c>
    </row>
    <row r="69" spans="2:8" x14ac:dyDescent="0.3">
      <c r="B69" t="s">
        <v>19</v>
      </c>
      <c r="C69" s="98">
        <v>0.24</v>
      </c>
      <c r="D69" s="98">
        <v>0.18</v>
      </c>
      <c r="E69">
        <v>0.48</v>
      </c>
      <c r="F69">
        <v>0.33</v>
      </c>
      <c r="H69" s="128">
        <v>19</v>
      </c>
    </row>
    <row r="70" spans="2:8" s="98" customFormat="1" x14ac:dyDescent="0.3">
      <c r="H70" s="128">
        <v>20</v>
      </c>
    </row>
    <row r="71" spans="2:8" x14ac:dyDescent="0.3">
      <c r="B71" s="100" t="s">
        <v>574</v>
      </c>
      <c r="H71" s="128">
        <v>21</v>
      </c>
    </row>
    <row r="72" spans="2:8" x14ac:dyDescent="0.3">
      <c r="B72" s="100" t="s">
        <v>573</v>
      </c>
      <c r="C72" s="100" t="s">
        <v>286</v>
      </c>
      <c r="D72" s="100" t="s">
        <v>595</v>
      </c>
      <c r="H72" s="128">
        <v>22</v>
      </c>
    </row>
    <row r="73" spans="2:8" x14ac:dyDescent="0.3">
      <c r="B73" t="s">
        <v>554</v>
      </c>
      <c r="C73">
        <v>0</v>
      </c>
      <c r="D73">
        <v>5.0000000000000001E-3</v>
      </c>
      <c r="H73" s="128">
        <v>23</v>
      </c>
    </row>
    <row r="74" spans="2:8" x14ac:dyDescent="0.3">
      <c r="B74" t="s">
        <v>572</v>
      </c>
      <c r="C74">
        <v>0</v>
      </c>
      <c r="D74" s="98">
        <v>5.0000000000000001E-3</v>
      </c>
      <c r="H74" s="128">
        <v>24</v>
      </c>
    </row>
    <row r="75" spans="2:8" x14ac:dyDescent="0.3">
      <c r="B75" s="98" t="s">
        <v>555</v>
      </c>
      <c r="C75">
        <v>0</v>
      </c>
      <c r="D75" s="98">
        <v>5.0000000000000001E-3</v>
      </c>
      <c r="H75" s="128">
        <v>25</v>
      </c>
    </row>
    <row r="76" spans="2:8" x14ac:dyDescent="0.3">
      <c r="B76" s="98" t="s">
        <v>556</v>
      </c>
      <c r="C76">
        <v>0</v>
      </c>
      <c r="D76" s="98">
        <v>5.0000000000000001E-3</v>
      </c>
      <c r="H76" s="128">
        <v>26</v>
      </c>
    </row>
    <row r="77" spans="2:8" x14ac:dyDescent="0.3">
      <c r="B77" s="98" t="s">
        <v>557</v>
      </c>
      <c r="C77">
        <v>0</v>
      </c>
      <c r="D77" s="98">
        <v>5.0000000000000001E-3</v>
      </c>
      <c r="H77" s="128">
        <v>27</v>
      </c>
    </row>
    <row r="78" spans="2:8" x14ac:dyDescent="0.3">
      <c r="B78" s="98" t="s">
        <v>558</v>
      </c>
      <c r="C78">
        <v>0</v>
      </c>
      <c r="D78" s="98">
        <v>5.0000000000000001E-3</v>
      </c>
      <c r="H78" s="127" t="s">
        <v>585</v>
      </c>
    </row>
    <row r="79" spans="2:8" x14ac:dyDescent="0.3">
      <c r="B79" s="98" t="s">
        <v>559</v>
      </c>
      <c r="C79" s="98">
        <v>0</v>
      </c>
      <c r="D79" s="98">
        <v>5.0000000000000001E-3</v>
      </c>
    </row>
    <row r="80" spans="2:8" x14ac:dyDescent="0.3">
      <c r="B80" s="98" t="s">
        <v>560</v>
      </c>
      <c r="C80" s="98">
        <v>0</v>
      </c>
      <c r="D80" s="98">
        <v>5.0000000000000001E-3</v>
      </c>
    </row>
    <row r="81" spans="2:4" x14ac:dyDescent="0.3">
      <c r="B81" s="98" t="s">
        <v>561</v>
      </c>
      <c r="C81" s="98">
        <v>0</v>
      </c>
      <c r="D81" s="98">
        <v>5.0000000000000001E-3</v>
      </c>
    </row>
    <row r="82" spans="2:4" x14ac:dyDescent="0.3">
      <c r="B82" s="98" t="s">
        <v>562</v>
      </c>
      <c r="C82" s="98">
        <v>0</v>
      </c>
      <c r="D82" s="98">
        <v>5.0000000000000001E-3</v>
      </c>
    </row>
    <row r="83" spans="2:4" x14ac:dyDescent="0.3">
      <c r="B83" s="98" t="s">
        <v>563</v>
      </c>
      <c r="C83" s="98">
        <v>0</v>
      </c>
      <c r="D83" s="98">
        <v>5.0000000000000001E-3</v>
      </c>
    </row>
    <row r="84" spans="2:4" x14ac:dyDescent="0.3">
      <c r="B84" s="98" t="s">
        <v>564</v>
      </c>
      <c r="C84" s="98">
        <v>0</v>
      </c>
      <c r="D84" s="98">
        <v>5.0000000000000001E-3</v>
      </c>
    </row>
    <row r="85" spans="2:4" x14ac:dyDescent="0.3">
      <c r="B85" s="98" t="s">
        <v>565</v>
      </c>
      <c r="C85" s="98">
        <v>0</v>
      </c>
      <c r="D85" s="98">
        <v>5.0000000000000001E-3</v>
      </c>
    </row>
    <row r="86" spans="2:4" x14ac:dyDescent="0.3">
      <c r="B86" s="98" t="s">
        <v>566</v>
      </c>
      <c r="C86" s="98">
        <v>0</v>
      </c>
      <c r="D86" s="98">
        <v>5.0000000000000001E-3</v>
      </c>
    </row>
    <row r="87" spans="2:4" x14ac:dyDescent="0.3">
      <c r="B87" s="98" t="s">
        <v>567</v>
      </c>
      <c r="C87" s="98">
        <v>0</v>
      </c>
      <c r="D87" s="98">
        <v>5.0000000000000001E-3</v>
      </c>
    </row>
    <row r="88" spans="2:4" x14ac:dyDescent="0.3">
      <c r="B88" s="98" t="s">
        <v>568</v>
      </c>
      <c r="C88" s="98">
        <v>0</v>
      </c>
      <c r="D88" s="98">
        <v>5.0000000000000001E-3</v>
      </c>
    </row>
    <row r="89" spans="2:4" x14ac:dyDescent="0.3">
      <c r="B89" s="98" t="s">
        <v>569</v>
      </c>
      <c r="C89">
        <v>0</v>
      </c>
      <c r="D89" s="98">
        <v>5.0000000000000001E-3</v>
      </c>
    </row>
    <row r="90" spans="2:4" x14ac:dyDescent="0.3">
      <c r="B90" s="98" t="s">
        <v>570</v>
      </c>
      <c r="C90" s="98">
        <v>0</v>
      </c>
      <c r="D90" s="98">
        <v>5.0000000000000001E-3</v>
      </c>
    </row>
    <row r="91" spans="2:4" x14ac:dyDescent="0.3">
      <c r="B91" s="98" t="s">
        <v>571</v>
      </c>
      <c r="C91" s="98">
        <v>0</v>
      </c>
      <c r="D91" s="98">
        <v>5.0000000000000001E-3</v>
      </c>
    </row>
    <row r="92" spans="2:4" x14ac:dyDescent="0.3">
      <c r="B92" s="98" t="s">
        <v>459</v>
      </c>
      <c r="C92">
        <v>10</v>
      </c>
      <c r="D92">
        <v>0</v>
      </c>
    </row>
    <row r="93" spans="2:4" x14ac:dyDescent="0.3">
      <c r="B93" s="98" t="s">
        <v>477</v>
      </c>
      <c r="C93" s="98">
        <v>10</v>
      </c>
      <c r="D93" s="98">
        <v>0</v>
      </c>
    </row>
    <row r="94" spans="2:4" x14ac:dyDescent="0.3">
      <c r="B94" s="98" t="s">
        <v>460</v>
      </c>
      <c r="C94" s="98">
        <v>10</v>
      </c>
      <c r="D94" s="98">
        <v>0</v>
      </c>
    </row>
    <row r="95" spans="2:4" x14ac:dyDescent="0.3">
      <c r="B95" s="98" t="s">
        <v>461</v>
      </c>
      <c r="C95" s="98">
        <v>10</v>
      </c>
      <c r="D95" s="98">
        <v>0</v>
      </c>
    </row>
    <row r="96" spans="2:4" x14ac:dyDescent="0.3">
      <c r="B96" s="98" t="s">
        <v>462</v>
      </c>
      <c r="C96" s="98">
        <v>10</v>
      </c>
      <c r="D96" s="98">
        <v>0</v>
      </c>
    </row>
    <row r="97" spans="2:4" x14ac:dyDescent="0.3">
      <c r="B97" s="98" t="s">
        <v>463</v>
      </c>
      <c r="C97">
        <v>10</v>
      </c>
      <c r="D97" s="98">
        <v>0</v>
      </c>
    </row>
    <row r="98" spans="2:4" x14ac:dyDescent="0.3">
      <c r="B98" s="98" t="s">
        <v>464</v>
      </c>
      <c r="C98" s="98">
        <v>10</v>
      </c>
      <c r="D98" s="98">
        <v>0</v>
      </c>
    </row>
    <row r="99" spans="2:4" x14ac:dyDescent="0.3">
      <c r="B99" s="98" t="s">
        <v>465</v>
      </c>
      <c r="C99" s="98">
        <v>10</v>
      </c>
      <c r="D99" s="98">
        <v>0</v>
      </c>
    </row>
    <row r="100" spans="2:4" x14ac:dyDescent="0.3">
      <c r="B100" s="98" t="s">
        <v>466</v>
      </c>
      <c r="C100" s="98">
        <v>10</v>
      </c>
      <c r="D100" s="98">
        <v>0</v>
      </c>
    </row>
    <row r="101" spans="2:4" x14ac:dyDescent="0.3">
      <c r="B101" s="98" t="s">
        <v>467</v>
      </c>
      <c r="C101" s="98">
        <v>10</v>
      </c>
      <c r="D101" s="98">
        <v>0</v>
      </c>
    </row>
    <row r="102" spans="2:4" x14ac:dyDescent="0.3">
      <c r="B102" s="98" t="s">
        <v>468</v>
      </c>
      <c r="C102" s="98">
        <v>10</v>
      </c>
      <c r="D102" s="98">
        <v>0</v>
      </c>
    </row>
    <row r="103" spans="2:4" x14ac:dyDescent="0.3">
      <c r="B103" s="98" t="s">
        <v>469</v>
      </c>
      <c r="C103" s="98">
        <v>10</v>
      </c>
      <c r="D103" s="98">
        <v>0</v>
      </c>
    </row>
    <row r="104" spans="2:4" x14ac:dyDescent="0.3">
      <c r="B104" s="98" t="s">
        <v>470</v>
      </c>
      <c r="C104" s="98">
        <v>10</v>
      </c>
      <c r="D104" s="98">
        <v>0</v>
      </c>
    </row>
    <row r="105" spans="2:4" x14ac:dyDescent="0.3">
      <c r="B105" s="98" t="s">
        <v>471</v>
      </c>
      <c r="C105" s="98">
        <v>10</v>
      </c>
      <c r="D105" s="98">
        <v>0</v>
      </c>
    </row>
    <row r="106" spans="2:4" x14ac:dyDescent="0.3">
      <c r="B106" s="98" t="s">
        <v>472</v>
      </c>
      <c r="C106" s="98">
        <v>10</v>
      </c>
      <c r="D106" s="98">
        <v>0</v>
      </c>
    </row>
    <row r="107" spans="2:4" x14ac:dyDescent="0.3">
      <c r="B107" s="98" t="s">
        <v>473</v>
      </c>
      <c r="C107" s="98">
        <v>10</v>
      </c>
      <c r="D107" s="98">
        <v>0</v>
      </c>
    </row>
    <row r="108" spans="2:4" x14ac:dyDescent="0.3">
      <c r="B108" s="98" t="s">
        <v>474</v>
      </c>
      <c r="C108">
        <v>10</v>
      </c>
      <c r="D108" s="98">
        <v>0</v>
      </c>
    </row>
    <row r="109" spans="2:4" x14ac:dyDescent="0.3">
      <c r="B109" s="98" t="s">
        <v>475</v>
      </c>
      <c r="C109" s="98">
        <v>10</v>
      </c>
      <c r="D109" s="98">
        <v>0</v>
      </c>
    </row>
    <row r="110" spans="2:4" x14ac:dyDescent="0.3">
      <c r="B110" s="98" t="s">
        <v>476</v>
      </c>
      <c r="C110" s="98">
        <v>10</v>
      </c>
      <c r="D110" s="98">
        <v>0</v>
      </c>
    </row>
    <row r="111" spans="2:4" x14ac:dyDescent="0.3">
      <c r="B111" s="98" t="s">
        <v>516</v>
      </c>
      <c r="C111">
        <v>0.5</v>
      </c>
      <c r="D111">
        <v>0.1</v>
      </c>
    </row>
    <row r="112" spans="2:4" x14ac:dyDescent="0.3">
      <c r="B112" s="98" t="s">
        <v>531</v>
      </c>
      <c r="C112" s="98">
        <v>1.5</v>
      </c>
      <c r="D112" s="98">
        <v>0.1</v>
      </c>
    </row>
    <row r="113" spans="2:4" x14ac:dyDescent="0.3">
      <c r="B113" s="98" t="s">
        <v>533</v>
      </c>
      <c r="C113" s="98">
        <v>0.5</v>
      </c>
      <c r="D113" s="98">
        <v>0.1</v>
      </c>
    </row>
    <row r="114" spans="2:4" x14ac:dyDescent="0.3">
      <c r="B114" s="98" t="s">
        <v>532</v>
      </c>
      <c r="C114" s="98">
        <v>0.5</v>
      </c>
      <c r="D114" s="98">
        <v>0.1</v>
      </c>
    </row>
    <row r="115" spans="2:4" x14ac:dyDescent="0.3">
      <c r="B115" s="98" t="s">
        <v>534</v>
      </c>
      <c r="C115" s="98">
        <v>0.5</v>
      </c>
      <c r="D115" s="98">
        <v>0.1</v>
      </c>
    </row>
    <row r="116" spans="2:4" x14ac:dyDescent="0.3">
      <c r="B116" s="98" t="s">
        <v>517</v>
      </c>
      <c r="C116">
        <v>0.5</v>
      </c>
      <c r="D116" s="98">
        <v>0.1</v>
      </c>
    </row>
    <row r="117" spans="2:4" x14ac:dyDescent="0.3">
      <c r="B117" s="98" t="s">
        <v>518</v>
      </c>
      <c r="C117" s="98">
        <v>1</v>
      </c>
      <c r="D117" s="98">
        <v>0.1</v>
      </c>
    </row>
    <row r="118" spans="2:4" x14ac:dyDescent="0.3">
      <c r="B118" s="98" t="s">
        <v>519</v>
      </c>
      <c r="C118" s="98">
        <v>1</v>
      </c>
      <c r="D118" s="98">
        <v>0.1</v>
      </c>
    </row>
    <row r="119" spans="2:4" x14ac:dyDescent="0.3">
      <c r="B119" s="98" t="s">
        <v>520</v>
      </c>
      <c r="C119" s="98">
        <v>1</v>
      </c>
      <c r="D119" s="98">
        <v>0.1</v>
      </c>
    </row>
    <row r="120" spans="2:4" x14ac:dyDescent="0.3">
      <c r="B120" s="98" t="s">
        <v>521</v>
      </c>
      <c r="C120" s="98">
        <v>1</v>
      </c>
      <c r="D120" s="98">
        <v>0.1</v>
      </c>
    </row>
    <row r="121" spans="2:4" x14ac:dyDescent="0.3">
      <c r="B121" s="98" t="s">
        <v>522</v>
      </c>
      <c r="C121" s="98">
        <v>1</v>
      </c>
      <c r="D121" s="98">
        <v>0.1</v>
      </c>
    </row>
    <row r="122" spans="2:4" x14ac:dyDescent="0.3">
      <c r="B122" s="98" t="s">
        <v>523</v>
      </c>
      <c r="C122" s="98">
        <v>1</v>
      </c>
      <c r="D122" s="98">
        <v>0.1</v>
      </c>
    </row>
    <row r="123" spans="2:4" x14ac:dyDescent="0.3">
      <c r="B123" s="98" t="s">
        <v>524</v>
      </c>
      <c r="C123" s="98">
        <v>1</v>
      </c>
      <c r="D123" s="98">
        <v>0.1</v>
      </c>
    </row>
    <row r="124" spans="2:4" x14ac:dyDescent="0.3">
      <c r="B124" s="98" t="s">
        <v>525</v>
      </c>
      <c r="C124" s="98">
        <v>1</v>
      </c>
      <c r="D124" s="98">
        <v>0.1</v>
      </c>
    </row>
    <row r="125" spans="2:4" x14ac:dyDescent="0.3">
      <c r="B125" s="98" t="s">
        <v>526</v>
      </c>
      <c r="C125" s="98">
        <v>1</v>
      </c>
      <c r="D125" s="98">
        <v>0.1</v>
      </c>
    </row>
    <row r="126" spans="2:4" x14ac:dyDescent="0.3">
      <c r="B126" s="98" t="s">
        <v>527</v>
      </c>
      <c r="C126" s="98">
        <v>1</v>
      </c>
      <c r="D126" s="98">
        <v>0.1</v>
      </c>
    </row>
    <row r="127" spans="2:4" x14ac:dyDescent="0.3">
      <c r="B127" s="98" t="s">
        <v>528</v>
      </c>
      <c r="C127">
        <v>1</v>
      </c>
      <c r="D127" s="98">
        <v>0.1</v>
      </c>
    </row>
    <row r="128" spans="2:4" x14ac:dyDescent="0.3">
      <c r="B128" s="98" t="s">
        <v>529</v>
      </c>
      <c r="C128" s="98">
        <v>1.5</v>
      </c>
      <c r="D128" s="98">
        <v>0.1</v>
      </c>
    </row>
    <row r="129" spans="2:4" x14ac:dyDescent="0.3">
      <c r="B129" s="98" t="s">
        <v>530</v>
      </c>
      <c r="C129" s="98">
        <v>1.5</v>
      </c>
      <c r="D129" s="98">
        <v>0.1</v>
      </c>
    </row>
    <row r="130" spans="2:4" x14ac:dyDescent="0.3">
      <c r="B130" s="98" t="s">
        <v>496</v>
      </c>
      <c r="C130">
        <v>0.5</v>
      </c>
      <c r="D130">
        <v>6.0000000000000001E-3</v>
      </c>
    </row>
    <row r="131" spans="2:4" x14ac:dyDescent="0.3">
      <c r="B131" s="98" t="s">
        <v>493</v>
      </c>
      <c r="C131" s="98">
        <v>0.5</v>
      </c>
      <c r="D131" s="98">
        <v>6.0000000000000001E-3</v>
      </c>
    </row>
    <row r="132" spans="2:4" x14ac:dyDescent="0.3">
      <c r="B132" s="98" t="s">
        <v>478</v>
      </c>
      <c r="C132" s="98">
        <v>0.5</v>
      </c>
      <c r="D132" s="98">
        <v>6.0000000000000001E-3</v>
      </c>
    </row>
    <row r="133" spans="2:4" x14ac:dyDescent="0.3">
      <c r="B133" s="98" t="s">
        <v>494</v>
      </c>
      <c r="C133" s="98">
        <v>0.5</v>
      </c>
      <c r="D133" s="98">
        <v>6.0000000000000001E-3</v>
      </c>
    </row>
    <row r="134" spans="2:4" x14ac:dyDescent="0.3">
      <c r="B134" s="98" t="s">
        <v>495</v>
      </c>
      <c r="C134" s="98">
        <v>0.5</v>
      </c>
      <c r="D134" s="98">
        <v>6.0000000000000001E-3</v>
      </c>
    </row>
    <row r="135" spans="2:4" x14ac:dyDescent="0.3">
      <c r="B135" s="98" t="s">
        <v>479</v>
      </c>
      <c r="C135">
        <v>0.5</v>
      </c>
      <c r="D135" s="98">
        <v>6.0000000000000001E-3</v>
      </c>
    </row>
    <row r="136" spans="2:4" x14ac:dyDescent="0.3">
      <c r="B136" s="98" t="s">
        <v>480</v>
      </c>
      <c r="C136" s="98">
        <v>0.5</v>
      </c>
      <c r="D136" s="98">
        <v>6.0000000000000001E-3</v>
      </c>
    </row>
    <row r="137" spans="2:4" x14ac:dyDescent="0.3">
      <c r="B137" s="98" t="s">
        <v>481</v>
      </c>
      <c r="C137" s="98">
        <v>0.5</v>
      </c>
      <c r="D137" s="98">
        <v>6.0000000000000001E-3</v>
      </c>
    </row>
    <row r="138" spans="2:4" x14ac:dyDescent="0.3">
      <c r="B138" s="98" t="s">
        <v>482</v>
      </c>
      <c r="C138" s="98">
        <v>0.5</v>
      </c>
      <c r="D138" s="98">
        <v>6.0000000000000001E-3</v>
      </c>
    </row>
    <row r="139" spans="2:4" x14ac:dyDescent="0.3">
      <c r="B139" s="98" t="s">
        <v>483</v>
      </c>
      <c r="C139" s="98">
        <v>0.5</v>
      </c>
      <c r="D139" s="98">
        <v>6.0000000000000001E-3</v>
      </c>
    </row>
    <row r="140" spans="2:4" x14ac:dyDescent="0.3">
      <c r="B140" s="98" t="s">
        <v>484</v>
      </c>
      <c r="C140" s="98">
        <v>0.5</v>
      </c>
      <c r="D140" s="98">
        <v>6.0000000000000001E-3</v>
      </c>
    </row>
    <row r="141" spans="2:4" x14ac:dyDescent="0.3">
      <c r="B141" s="98" t="s">
        <v>485</v>
      </c>
      <c r="C141" s="98">
        <v>0.5</v>
      </c>
      <c r="D141" s="98">
        <v>6.0000000000000001E-3</v>
      </c>
    </row>
    <row r="142" spans="2:4" x14ac:dyDescent="0.3">
      <c r="B142" s="98" t="s">
        <v>486</v>
      </c>
      <c r="C142" s="98">
        <v>0.5</v>
      </c>
      <c r="D142" s="98">
        <v>6.0000000000000001E-3</v>
      </c>
    </row>
    <row r="143" spans="2:4" x14ac:dyDescent="0.3">
      <c r="B143" s="98" t="s">
        <v>487</v>
      </c>
      <c r="C143" s="98">
        <v>0.5</v>
      </c>
      <c r="D143" s="98">
        <v>6.0000000000000001E-3</v>
      </c>
    </row>
    <row r="144" spans="2:4" x14ac:dyDescent="0.3">
      <c r="B144" s="98" t="s">
        <v>488</v>
      </c>
      <c r="C144" s="98">
        <v>0.5</v>
      </c>
      <c r="D144" s="98">
        <v>6.0000000000000001E-3</v>
      </c>
    </row>
    <row r="145" spans="2:4" x14ac:dyDescent="0.3">
      <c r="B145" s="98" t="s">
        <v>489</v>
      </c>
      <c r="C145" s="98">
        <v>0.5</v>
      </c>
      <c r="D145" s="98">
        <v>6.0000000000000001E-3</v>
      </c>
    </row>
    <row r="146" spans="2:4" x14ac:dyDescent="0.3">
      <c r="B146" s="98" t="s">
        <v>490</v>
      </c>
      <c r="C146">
        <v>0.5</v>
      </c>
      <c r="D146" s="98">
        <v>6.0000000000000001E-3</v>
      </c>
    </row>
    <row r="147" spans="2:4" x14ac:dyDescent="0.3">
      <c r="B147" s="98" t="s">
        <v>491</v>
      </c>
      <c r="C147" s="98">
        <v>0.5</v>
      </c>
      <c r="D147" s="98">
        <v>6.0000000000000001E-3</v>
      </c>
    </row>
    <row r="148" spans="2:4" x14ac:dyDescent="0.3">
      <c r="B148" s="98" t="s">
        <v>492</v>
      </c>
      <c r="C148" s="98">
        <v>0.5</v>
      </c>
      <c r="D148" s="98">
        <v>6.0000000000000001E-3</v>
      </c>
    </row>
    <row r="149" spans="2:4" x14ac:dyDescent="0.3">
      <c r="B149" s="98" t="s">
        <v>535</v>
      </c>
      <c r="C149">
        <v>0.5</v>
      </c>
      <c r="D149">
        <v>0.01</v>
      </c>
    </row>
    <row r="150" spans="2:4" x14ac:dyDescent="0.3">
      <c r="B150" s="98" t="s">
        <v>553</v>
      </c>
      <c r="C150">
        <v>1.5</v>
      </c>
      <c r="D150" s="98">
        <v>0.01</v>
      </c>
    </row>
    <row r="151" spans="2:4" x14ac:dyDescent="0.3">
      <c r="B151" s="98" t="s">
        <v>536</v>
      </c>
      <c r="C151">
        <v>0.5</v>
      </c>
      <c r="D151" s="98">
        <v>0.01</v>
      </c>
    </row>
    <row r="152" spans="2:4" x14ac:dyDescent="0.3">
      <c r="B152" s="98" t="s">
        <v>537</v>
      </c>
      <c r="C152">
        <v>0.5</v>
      </c>
      <c r="D152" s="98">
        <v>0.01</v>
      </c>
    </row>
    <row r="153" spans="2:4" x14ac:dyDescent="0.3">
      <c r="B153" s="98" t="s">
        <v>538</v>
      </c>
      <c r="C153">
        <v>0.5</v>
      </c>
      <c r="D153" s="98">
        <v>0.01</v>
      </c>
    </row>
    <row r="154" spans="2:4" x14ac:dyDescent="0.3">
      <c r="B154" s="98" t="s">
        <v>539</v>
      </c>
      <c r="C154">
        <v>0.5</v>
      </c>
      <c r="D154" s="98">
        <v>0.01</v>
      </c>
    </row>
    <row r="155" spans="2:4" x14ac:dyDescent="0.3">
      <c r="B155" s="98" t="s">
        <v>540</v>
      </c>
      <c r="C155">
        <v>1</v>
      </c>
      <c r="D155" s="98">
        <v>0.01</v>
      </c>
    </row>
    <row r="156" spans="2:4" x14ac:dyDescent="0.3">
      <c r="B156" s="98" t="s">
        <v>541</v>
      </c>
      <c r="C156">
        <v>1</v>
      </c>
      <c r="D156" s="98">
        <v>0.01</v>
      </c>
    </row>
    <row r="157" spans="2:4" x14ac:dyDescent="0.3">
      <c r="B157" s="98" t="s">
        <v>542</v>
      </c>
      <c r="C157">
        <v>1</v>
      </c>
      <c r="D157" s="98">
        <v>0.01</v>
      </c>
    </row>
    <row r="158" spans="2:4" x14ac:dyDescent="0.3">
      <c r="B158" s="98" t="s">
        <v>543</v>
      </c>
      <c r="C158">
        <v>1</v>
      </c>
      <c r="D158" s="98">
        <v>0.01</v>
      </c>
    </row>
    <row r="159" spans="2:4" x14ac:dyDescent="0.3">
      <c r="B159" s="98" t="s">
        <v>544</v>
      </c>
      <c r="C159">
        <v>1</v>
      </c>
      <c r="D159" s="98">
        <v>0.01</v>
      </c>
    </row>
    <row r="160" spans="2:4" x14ac:dyDescent="0.3">
      <c r="B160" s="98" t="s">
        <v>545</v>
      </c>
      <c r="C160">
        <v>1</v>
      </c>
      <c r="D160" s="98">
        <v>0.01</v>
      </c>
    </row>
    <row r="161" spans="2:4" x14ac:dyDescent="0.3">
      <c r="B161" s="98" t="s">
        <v>546</v>
      </c>
      <c r="C161">
        <v>1</v>
      </c>
      <c r="D161" s="98">
        <v>0.01</v>
      </c>
    </row>
    <row r="162" spans="2:4" x14ac:dyDescent="0.3">
      <c r="B162" s="98" t="s">
        <v>547</v>
      </c>
      <c r="C162">
        <v>1</v>
      </c>
      <c r="D162" s="98">
        <v>0.01</v>
      </c>
    </row>
    <row r="163" spans="2:4" x14ac:dyDescent="0.3">
      <c r="B163" s="98" t="s">
        <v>548</v>
      </c>
      <c r="C163">
        <v>1</v>
      </c>
      <c r="D163" s="98">
        <v>0.01</v>
      </c>
    </row>
    <row r="164" spans="2:4" x14ac:dyDescent="0.3">
      <c r="B164" s="98" t="s">
        <v>549</v>
      </c>
      <c r="C164">
        <v>1</v>
      </c>
      <c r="D164" s="98">
        <v>0.01</v>
      </c>
    </row>
    <row r="165" spans="2:4" x14ac:dyDescent="0.3">
      <c r="B165" s="98" t="s">
        <v>550</v>
      </c>
      <c r="C165">
        <v>1</v>
      </c>
      <c r="D165" s="98">
        <v>0.01</v>
      </c>
    </row>
    <row r="166" spans="2:4" x14ac:dyDescent="0.3">
      <c r="B166" s="98" t="s">
        <v>551</v>
      </c>
      <c r="C166">
        <v>1.5</v>
      </c>
      <c r="D166" s="98">
        <v>0.01</v>
      </c>
    </row>
    <row r="167" spans="2:4" x14ac:dyDescent="0.3">
      <c r="B167" s="98" t="s">
        <v>552</v>
      </c>
      <c r="C167">
        <v>1.5</v>
      </c>
      <c r="D167" s="98">
        <v>0.01</v>
      </c>
    </row>
    <row r="168" spans="2:4" x14ac:dyDescent="0.3">
      <c r="B168" s="98" t="s">
        <v>497</v>
      </c>
      <c r="C168">
        <v>0.5</v>
      </c>
      <c r="D168">
        <v>6.0000000000000001E-3</v>
      </c>
    </row>
    <row r="169" spans="2:4" x14ac:dyDescent="0.3">
      <c r="B169" s="98" t="s">
        <v>515</v>
      </c>
      <c r="C169">
        <v>0.5</v>
      </c>
      <c r="D169" s="98">
        <v>6.0000000000000001E-3</v>
      </c>
    </row>
    <row r="170" spans="2:4" x14ac:dyDescent="0.3">
      <c r="B170" s="98" t="s">
        <v>498</v>
      </c>
      <c r="C170">
        <v>0.5</v>
      </c>
      <c r="D170" s="98">
        <v>6.0000000000000001E-3</v>
      </c>
    </row>
    <row r="171" spans="2:4" x14ac:dyDescent="0.3">
      <c r="B171" s="98" t="s">
        <v>499</v>
      </c>
      <c r="C171">
        <v>0.5</v>
      </c>
      <c r="D171" s="98">
        <v>6.0000000000000001E-3</v>
      </c>
    </row>
    <row r="172" spans="2:4" x14ac:dyDescent="0.3">
      <c r="B172" s="98" t="s">
        <v>500</v>
      </c>
      <c r="C172">
        <v>0.5</v>
      </c>
      <c r="D172" s="98">
        <v>6.0000000000000001E-3</v>
      </c>
    </row>
    <row r="173" spans="2:4" x14ac:dyDescent="0.3">
      <c r="B173" s="98" t="s">
        <v>501</v>
      </c>
      <c r="C173">
        <v>0.5</v>
      </c>
      <c r="D173" s="98">
        <v>6.0000000000000001E-3</v>
      </c>
    </row>
    <row r="174" spans="2:4" x14ac:dyDescent="0.3">
      <c r="B174" s="98" t="s">
        <v>502</v>
      </c>
      <c r="C174">
        <v>0.5</v>
      </c>
      <c r="D174" s="98">
        <v>6.0000000000000001E-3</v>
      </c>
    </row>
    <row r="175" spans="2:4" x14ac:dyDescent="0.3">
      <c r="B175" s="98" t="s">
        <v>503</v>
      </c>
      <c r="C175">
        <v>0.5</v>
      </c>
      <c r="D175" s="98">
        <v>6.0000000000000001E-3</v>
      </c>
    </row>
    <row r="176" spans="2:4" x14ac:dyDescent="0.3">
      <c r="B176" s="98" t="s">
        <v>504</v>
      </c>
      <c r="C176">
        <v>0.5</v>
      </c>
      <c r="D176" s="98">
        <v>6.0000000000000001E-3</v>
      </c>
    </row>
    <row r="177" spans="2:4" x14ac:dyDescent="0.3">
      <c r="B177" s="98" t="s">
        <v>505</v>
      </c>
      <c r="C177">
        <v>0.5</v>
      </c>
      <c r="D177" s="98">
        <v>6.0000000000000001E-3</v>
      </c>
    </row>
    <row r="178" spans="2:4" x14ac:dyDescent="0.3">
      <c r="B178" s="98" t="s">
        <v>506</v>
      </c>
      <c r="C178">
        <v>0.5</v>
      </c>
      <c r="D178" s="98">
        <v>6.0000000000000001E-3</v>
      </c>
    </row>
    <row r="179" spans="2:4" x14ac:dyDescent="0.3">
      <c r="B179" s="98" t="s">
        <v>507</v>
      </c>
      <c r="C179">
        <v>0.5</v>
      </c>
      <c r="D179" s="98">
        <v>6.0000000000000001E-3</v>
      </c>
    </row>
    <row r="180" spans="2:4" x14ac:dyDescent="0.3">
      <c r="B180" s="98" t="s">
        <v>508</v>
      </c>
      <c r="C180">
        <v>0.5</v>
      </c>
      <c r="D180" s="98">
        <v>6.0000000000000001E-3</v>
      </c>
    </row>
    <row r="181" spans="2:4" x14ac:dyDescent="0.3">
      <c r="B181" s="98" t="s">
        <v>509</v>
      </c>
      <c r="C181">
        <v>0.5</v>
      </c>
      <c r="D181" s="98">
        <v>6.0000000000000001E-3</v>
      </c>
    </row>
    <row r="182" spans="2:4" x14ac:dyDescent="0.3">
      <c r="B182" s="98" t="s">
        <v>510</v>
      </c>
      <c r="C182">
        <v>0.5</v>
      </c>
      <c r="D182" s="98">
        <v>6.0000000000000001E-3</v>
      </c>
    </row>
    <row r="183" spans="2:4" x14ac:dyDescent="0.3">
      <c r="B183" s="98" t="s">
        <v>511</v>
      </c>
      <c r="C183">
        <v>0.5</v>
      </c>
      <c r="D183" s="98">
        <v>6.0000000000000001E-3</v>
      </c>
    </row>
    <row r="184" spans="2:4" x14ac:dyDescent="0.3">
      <c r="B184" s="98" t="s">
        <v>512</v>
      </c>
      <c r="C184">
        <v>0.5</v>
      </c>
      <c r="D184" s="98">
        <v>6.0000000000000001E-3</v>
      </c>
    </row>
    <row r="185" spans="2:4" x14ac:dyDescent="0.3">
      <c r="B185" s="98" t="s">
        <v>513</v>
      </c>
      <c r="C185">
        <v>0.5</v>
      </c>
      <c r="D185" s="98">
        <v>6.0000000000000001E-3</v>
      </c>
    </row>
    <row r="186" spans="2:4" x14ac:dyDescent="0.3">
      <c r="B186" s="98" t="s">
        <v>514</v>
      </c>
      <c r="C186">
        <v>0.5</v>
      </c>
      <c r="D186" s="98">
        <v>6.0000000000000001E-3</v>
      </c>
    </row>
    <row r="187" spans="2:4" x14ac:dyDescent="0.3">
      <c r="B187" s="98" t="s">
        <v>306</v>
      </c>
      <c r="C187">
        <v>0.1</v>
      </c>
      <c r="D187">
        <v>0</v>
      </c>
    </row>
    <row r="188" spans="2:4" x14ac:dyDescent="0.3">
      <c r="B188" s="98" t="s">
        <v>324</v>
      </c>
      <c r="C188">
        <v>1</v>
      </c>
      <c r="D188" s="98">
        <v>0</v>
      </c>
    </row>
    <row r="189" spans="2:4" x14ac:dyDescent="0.3">
      <c r="B189" s="98" t="s">
        <v>307</v>
      </c>
      <c r="C189">
        <v>0.1</v>
      </c>
      <c r="D189" s="98">
        <v>0</v>
      </c>
    </row>
    <row r="190" spans="2:4" x14ac:dyDescent="0.3">
      <c r="B190" s="98" t="s">
        <v>308</v>
      </c>
      <c r="C190">
        <v>0.1</v>
      </c>
      <c r="D190" s="98">
        <v>0</v>
      </c>
    </row>
    <row r="191" spans="2:4" x14ac:dyDescent="0.3">
      <c r="B191" s="98" t="s">
        <v>309</v>
      </c>
      <c r="C191">
        <v>0.1</v>
      </c>
      <c r="D191" s="98">
        <v>0</v>
      </c>
    </row>
    <row r="192" spans="2:4" x14ac:dyDescent="0.3">
      <c r="B192" s="98" t="s">
        <v>310</v>
      </c>
      <c r="C192">
        <v>0.1</v>
      </c>
      <c r="D192" s="98">
        <v>0</v>
      </c>
    </row>
    <row r="193" spans="2:4" x14ac:dyDescent="0.3">
      <c r="B193" s="98" t="s">
        <v>311</v>
      </c>
      <c r="C193">
        <v>0.5</v>
      </c>
      <c r="D193" s="98">
        <v>0</v>
      </c>
    </row>
    <row r="194" spans="2:4" x14ac:dyDescent="0.3">
      <c r="B194" s="98" t="s">
        <v>312</v>
      </c>
      <c r="C194">
        <v>0.5</v>
      </c>
      <c r="D194" s="98">
        <v>0</v>
      </c>
    </row>
    <row r="195" spans="2:4" x14ac:dyDescent="0.3">
      <c r="B195" s="98" t="s">
        <v>313</v>
      </c>
      <c r="C195">
        <v>0.5</v>
      </c>
      <c r="D195" s="98">
        <v>0</v>
      </c>
    </row>
    <row r="196" spans="2:4" x14ac:dyDescent="0.3">
      <c r="B196" s="98" t="s">
        <v>314</v>
      </c>
      <c r="C196">
        <v>0.5</v>
      </c>
      <c r="D196" s="98">
        <v>0</v>
      </c>
    </row>
    <row r="197" spans="2:4" x14ac:dyDescent="0.3">
      <c r="B197" s="98" t="s">
        <v>315</v>
      </c>
      <c r="C197">
        <v>0.5</v>
      </c>
      <c r="D197" s="98">
        <v>0</v>
      </c>
    </row>
    <row r="198" spans="2:4" x14ac:dyDescent="0.3">
      <c r="B198" s="98" t="s">
        <v>316</v>
      </c>
      <c r="C198">
        <v>0.5</v>
      </c>
      <c r="D198" s="98">
        <v>0</v>
      </c>
    </row>
    <row r="199" spans="2:4" x14ac:dyDescent="0.3">
      <c r="B199" s="98" t="s">
        <v>317</v>
      </c>
      <c r="C199">
        <v>0.5</v>
      </c>
      <c r="D199" s="98">
        <v>0</v>
      </c>
    </row>
    <row r="200" spans="2:4" x14ac:dyDescent="0.3">
      <c r="B200" s="98" t="s">
        <v>318</v>
      </c>
      <c r="C200">
        <v>0.5</v>
      </c>
      <c r="D200" s="98">
        <v>0</v>
      </c>
    </row>
    <row r="201" spans="2:4" x14ac:dyDescent="0.3">
      <c r="B201" s="98" t="s">
        <v>319</v>
      </c>
      <c r="C201">
        <v>0.5</v>
      </c>
      <c r="D201" s="98">
        <v>0</v>
      </c>
    </row>
    <row r="202" spans="2:4" x14ac:dyDescent="0.3">
      <c r="B202" s="98" t="s">
        <v>320</v>
      </c>
      <c r="C202">
        <v>0.5</v>
      </c>
      <c r="D202" s="98">
        <v>0</v>
      </c>
    </row>
    <row r="203" spans="2:4" x14ac:dyDescent="0.3">
      <c r="B203" s="98" t="s">
        <v>321</v>
      </c>
      <c r="C203">
        <v>0.5</v>
      </c>
      <c r="D203" s="98">
        <v>0</v>
      </c>
    </row>
    <row r="204" spans="2:4" x14ac:dyDescent="0.3">
      <c r="B204" s="98" t="s">
        <v>322</v>
      </c>
      <c r="C204">
        <v>1</v>
      </c>
      <c r="D204" s="98">
        <v>0</v>
      </c>
    </row>
    <row r="205" spans="2:4" x14ac:dyDescent="0.3">
      <c r="B205" s="98" t="s">
        <v>323</v>
      </c>
      <c r="C205">
        <v>1</v>
      </c>
      <c r="D205" s="98">
        <v>0</v>
      </c>
    </row>
    <row r="206" spans="2:4" x14ac:dyDescent="0.3">
      <c r="B206" s="98" t="s">
        <v>615</v>
      </c>
      <c r="C206">
        <v>3</v>
      </c>
      <c r="D206">
        <v>7.0000000000000007E-2</v>
      </c>
    </row>
    <row r="207" spans="2:4" x14ac:dyDescent="0.3">
      <c r="B207" s="98" t="s">
        <v>616</v>
      </c>
      <c r="C207">
        <v>30</v>
      </c>
      <c r="D207" s="98">
        <v>7.0000000000000007E-2</v>
      </c>
    </row>
    <row r="208" spans="2:4" x14ac:dyDescent="0.3">
      <c r="B208" s="98" t="s">
        <v>617</v>
      </c>
      <c r="C208">
        <v>3</v>
      </c>
      <c r="D208" s="98">
        <v>7.0000000000000007E-2</v>
      </c>
    </row>
    <row r="209" spans="2:4" x14ac:dyDescent="0.3">
      <c r="B209" s="98" t="s">
        <v>618</v>
      </c>
      <c r="C209">
        <v>3</v>
      </c>
      <c r="D209" s="98">
        <v>7.0000000000000007E-2</v>
      </c>
    </row>
    <row r="210" spans="2:4" x14ac:dyDescent="0.3">
      <c r="B210" s="98" t="s">
        <v>619</v>
      </c>
      <c r="C210">
        <v>3</v>
      </c>
      <c r="D210" s="98">
        <v>7.0000000000000007E-2</v>
      </c>
    </row>
    <row r="211" spans="2:4" x14ac:dyDescent="0.3">
      <c r="B211" s="98" t="s">
        <v>620</v>
      </c>
      <c r="C211">
        <v>3</v>
      </c>
      <c r="D211" s="98">
        <v>7.0000000000000007E-2</v>
      </c>
    </row>
    <row r="212" spans="2:4" x14ac:dyDescent="0.3">
      <c r="B212" s="98" t="s">
        <v>621</v>
      </c>
      <c r="C212">
        <v>3</v>
      </c>
      <c r="D212" s="98">
        <v>7.0000000000000007E-2</v>
      </c>
    </row>
    <row r="213" spans="2:4" x14ac:dyDescent="0.3">
      <c r="B213" s="98" t="s">
        <v>622</v>
      </c>
      <c r="C213">
        <v>3</v>
      </c>
      <c r="D213" s="98">
        <v>7.0000000000000007E-2</v>
      </c>
    </row>
    <row r="214" spans="2:4" x14ac:dyDescent="0.3">
      <c r="B214" s="98" t="s">
        <v>623</v>
      </c>
      <c r="C214">
        <v>3</v>
      </c>
      <c r="D214" s="98">
        <v>7.0000000000000007E-2</v>
      </c>
    </row>
    <row r="215" spans="2:4" x14ac:dyDescent="0.3">
      <c r="B215" s="98" t="s">
        <v>624</v>
      </c>
      <c r="C215">
        <v>3</v>
      </c>
      <c r="D215" s="98">
        <v>7.0000000000000007E-2</v>
      </c>
    </row>
    <row r="216" spans="2:4" x14ac:dyDescent="0.3">
      <c r="B216" s="98" t="s">
        <v>625</v>
      </c>
      <c r="C216">
        <v>3</v>
      </c>
      <c r="D216" s="98">
        <v>7.0000000000000007E-2</v>
      </c>
    </row>
    <row r="217" spans="2:4" x14ac:dyDescent="0.3">
      <c r="B217" s="98" t="s">
        <v>626</v>
      </c>
      <c r="C217">
        <v>3</v>
      </c>
      <c r="D217" s="98">
        <v>7.0000000000000007E-2</v>
      </c>
    </row>
    <row r="218" spans="2:4" x14ac:dyDescent="0.3">
      <c r="B218" s="98" t="s">
        <v>627</v>
      </c>
      <c r="C218">
        <v>3</v>
      </c>
      <c r="D218" s="98">
        <v>7.0000000000000007E-2</v>
      </c>
    </row>
    <row r="219" spans="2:4" x14ac:dyDescent="0.3">
      <c r="B219" s="98" t="s">
        <v>628</v>
      </c>
      <c r="C219">
        <v>3</v>
      </c>
      <c r="D219" s="98">
        <v>7.0000000000000007E-2</v>
      </c>
    </row>
    <row r="220" spans="2:4" x14ac:dyDescent="0.3">
      <c r="B220" s="98" t="s">
        <v>629</v>
      </c>
      <c r="C220">
        <v>3</v>
      </c>
      <c r="D220" s="98">
        <v>7.0000000000000007E-2</v>
      </c>
    </row>
    <row r="221" spans="2:4" x14ac:dyDescent="0.3">
      <c r="B221" s="98" t="s">
        <v>630</v>
      </c>
      <c r="C221">
        <v>3</v>
      </c>
      <c r="D221" s="98">
        <v>7.0000000000000007E-2</v>
      </c>
    </row>
    <row r="222" spans="2:4" x14ac:dyDescent="0.3">
      <c r="B222" s="98" t="s">
        <v>631</v>
      </c>
      <c r="C222">
        <v>3</v>
      </c>
      <c r="D222" s="98">
        <v>7.0000000000000007E-2</v>
      </c>
    </row>
    <row r="223" spans="2:4" x14ac:dyDescent="0.3">
      <c r="B223" s="98" t="s">
        <v>632</v>
      </c>
      <c r="C223" s="98">
        <v>30</v>
      </c>
      <c r="D223" s="98">
        <v>7.0000000000000007E-2</v>
      </c>
    </row>
    <row r="224" spans="2:4" x14ac:dyDescent="0.3">
      <c r="B224" s="98" t="s">
        <v>633</v>
      </c>
      <c r="C224" s="98">
        <v>30</v>
      </c>
      <c r="D224" s="98">
        <v>7.0000000000000007E-2</v>
      </c>
    </row>
    <row r="225" spans="2:4" s="98" customFormat="1" x14ac:dyDescent="0.3">
      <c r="B225" s="98" t="s">
        <v>596</v>
      </c>
      <c r="C225" s="98">
        <v>3</v>
      </c>
      <c r="D225" s="98">
        <v>0.01</v>
      </c>
    </row>
    <row r="226" spans="2:4" s="98" customFormat="1" x14ac:dyDescent="0.3">
      <c r="B226" s="98" t="s">
        <v>597</v>
      </c>
      <c r="C226" s="98">
        <v>30</v>
      </c>
      <c r="D226" s="98">
        <v>0.01</v>
      </c>
    </row>
    <row r="227" spans="2:4" s="98" customFormat="1" x14ac:dyDescent="0.3">
      <c r="B227" s="98" t="s">
        <v>598</v>
      </c>
      <c r="C227" s="98">
        <v>3</v>
      </c>
      <c r="D227" s="98">
        <v>0.01</v>
      </c>
    </row>
    <row r="228" spans="2:4" s="98" customFormat="1" x14ac:dyDescent="0.3">
      <c r="B228" s="98" t="s">
        <v>599</v>
      </c>
      <c r="C228" s="98">
        <v>3</v>
      </c>
      <c r="D228" s="98">
        <v>0.01</v>
      </c>
    </row>
    <row r="229" spans="2:4" s="98" customFormat="1" x14ac:dyDescent="0.3">
      <c r="B229" s="98" t="s">
        <v>600</v>
      </c>
      <c r="C229" s="98">
        <v>3</v>
      </c>
      <c r="D229" s="98">
        <v>0.01</v>
      </c>
    </row>
    <row r="230" spans="2:4" s="98" customFormat="1" x14ac:dyDescent="0.3">
      <c r="B230" s="98" t="s">
        <v>601</v>
      </c>
      <c r="C230" s="98">
        <v>3</v>
      </c>
      <c r="D230" s="98">
        <v>0.01</v>
      </c>
    </row>
    <row r="231" spans="2:4" s="98" customFormat="1" x14ac:dyDescent="0.3">
      <c r="B231" s="98" t="s">
        <v>602</v>
      </c>
      <c r="C231" s="98">
        <v>3</v>
      </c>
      <c r="D231" s="98">
        <v>0.01</v>
      </c>
    </row>
    <row r="232" spans="2:4" s="98" customFormat="1" x14ac:dyDescent="0.3">
      <c r="B232" s="98" t="s">
        <v>603</v>
      </c>
      <c r="C232" s="98">
        <v>3</v>
      </c>
      <c r="D232" s="98">
        <v>0.01</v>
      </c>
    </row>
    <row r="233" spans="2:4" s="98" customFormat="1" x14ac:dyDescent="0.3">
      <c r="B233" s="98" t="s">
        <v>604</v>
      </c>
      <c r="C233" s="98">
        <v>3</v>
      </c>
      <c r="D233" s="98">
        <v>0.01</v>
      </c>
    </row>
    <row r="234" spans="2:4" s="98" customFormat="1" x14ac:dyDescent="0.3">
      <c r="B234" s="98" t="s">
        <v>605</v>
      </c>
      <c r="C234" s="98">
        <v>3</v>
      </c>
      <c r="D234" s="98">
        <v>0.01</v>
      </c>
    </row>
    <row r="235" spans="2:4" s="98" customFormat="1" x14ac:dyDescent="0.3">
      <c r="B235" s="98" t="s">
        <v>606</v>
      </c>
      <c r="C235" s="98">
        <v>3</v>
      </c>
      <c r="D235" s="98">
        <v>0.01</v>
      </c>
    </row>
    <row r="236" spans="2:4" s="98" customFormat="1" x14ac:dyDescent="0.3">
      <c r="B236" s="98" t="s">
        <v>607</v>
      </c>
      <c r="C236" s="98">
        <v>3</v>
      </c>
      <c r="D236" s="98">
        <v>0.01</v>
      </c>
    </row>
    <row r="237" spans="2:4" s="98" customFormat="1" x14ac:dyDescent="0.3">
      <c r="B237" s="98" t="s">
        <v>608</v>
      </c>
      <c r="C237" s="98">
        <v>3</v>
      </c>
      <c r="D237" s="98">
        <v>0.01</v>
      </c>
    </row>
    <row r="238" spans="2:4" s="98" customFormat="1" x14ac:dyDescent="0.3">
      <c r="B238" s="98" t="s">
        <v>609</v>
      </c>
      <c r="C238" s="98">
        <v>3</v>
      </c>
      <c r="D238" s="98">
        <v>0.01</v>
      </c>
    </row>
    <row r="239" spans="2:4" s="98" customFormat="1" x14ac:dyDescent="0.3">
      <c r="B239" s="98" t="s">
        <v>610</v>
      </c>
      <c r="C239" s="98">
        <v>3</v>
      </c>
      <c r="D239" s="98">
        <v>0.01</v>
      </c>
    </row>
    <row r="240" spans="2:4" s="98" customFormat="1" x14ac:dyDescent="0.3">
      <c r="B240" s="98" t="s">
        <v>611</v>
      </c>
      <c r="C240" s="98">
        <v>3</v>
      </c>
      <c r="D240" s="98">
        <v>0.01</v>
      </c>
    </row>
    <row r="241" spans="2:4" s="98" customFormat="1" x14ac:dyDescent="0.3">
      <c r="B241" s="98" t="s">
        <v>612</v>
      </c>
      <c r="C241" s="98">
        <v>3</v>
      </c>
      <c r="D241" s="98">
        <v>0.01</v>
      </c>
    </row>
    <row r="242" spans="2:4" s="98" customFormat="1" x14ac:dyDescent="0.3">
      <c r="B242" s="98" t="s">
        <v>613</v>
      </c>
      <c r="C242" s="98">
        <v>30</v>
      </c>
      <c r="D242" s="98">
        <v>0.01</v>
      </c>
    </row>
    <row r="243" spans="2:4" s="98" customFormat="1" x14ac:dyDescent="0.3">
      <c r="B243" s="98" t="s">
        <v>614</v>
      </c>
      <c r="C243" s="98">
        <v>30</v>
      </c>
      <c r="D243" s="98">
        <v>0.01</v>
      </c>
    </row>
    <row r="244" spans="2:4" x14ac:dyDescent="0.3">
      <c r="B244" s="98" t="s">
        <v>653</v>
      </c>
      <c r="C244">
        <v>17</v>
      </c>
      <c r="D244" s="98">
        <v>7.0000000000000007E-2</v>
      </c>
    </row>
    <row r="245" spans="2:4" x14ac:dyDescent="0.3">
      <c r="B245" s="98" t="s">
        <v>654</v>
      </c>
      <c r="C245">
        <v>80</v>
      </c>
      <c r="D245" s="98">
        <v>7.0000000000000007E-2</v>
      </c>
    </row>
    <row r="246" spans="2:4" x14ac:dyDescent="0.3">
      <c r="B246" s="98" t="s">
        <v>655</v>
      </c>
      <c r="C246">
        <v>19</v>
      </c>
      <c r="D246" s="98">
        <v>7.0000000000000007E-2</v>
      </c>
    </row>
    <row r="247" spans="2:4" x14ac:dyDescent="0.3">
      <c r="B247" s="98" t="s">
        <v>656</v>
      </c>
      <c r="C247">
        <v>20</v>
      </c>
      <c r="D247" s="98">
        <v>7.0000000000000007E-2</v>
      </c>
    </row>
    <row r="248" spans="2:4" x14ac:dyDescent="0.3">
      <c r="B248" s="98" t="s">
        <v>657</v>
      </c>
      <c r="C248">
        <v>22</v>
      </c>
      <c r="D248" s="98">
        <v>7.0000000000000007E-2</v>
      </c>
    </row>
    <row r="249" spans="2:4" x14ac:dyDescent="0.3">
      <c r="B249" s="98" t="s">
        <v>658</v>
      </c>
      <c r="C249">
        <v>25</v>
      </c>
      <c r="D249" s="98">
        <v>7.0000000000000007E-2</v>
      </c>
    </row>
    <row r="250" spans="2:4" x14ac:dyDescent="0.3">
      <c r="B250" s="98" t="s">
        <v>659</v>
      </c>
      <c r="C250">
        <v>27</v>
      </c>
      <c r="D250" s="98">
        <v>7.0000000000000007E-2</v>
      </c>
    </row>
    <row r="251" spans="2:4" x14ac:dyDescent="0.3">
      <c r="B251" s="98" t="s">
        <v>660</v>
      </c>
      <c r="C251">
        <v>29</v>
      </c>
      <c r="D251" s="98">
        <v>7.0000000000000007E-2</v>
      </c>
    </row>
    <row r="252" spans="2:4" x14ac:dyDescent="0.3">
      <c r="B252" s="98" t="s">
        <v>661</v>
      </c>
      <c r="C252">
        <v>32</v>
      </c>
      <c r="D252" s="98">
        <v>7.0000000000000007E-2</v>
      </c>
    </row>
    <row r="253" spans="2:4" x14ac:dyDescent="0.3">
      <c r="B253" s="98" t="s">
        <v>662</v>
      </c>
      <c r="C253">
        <v>35</v>
      </c>
      <c r="D253" s="98">
        <v>7.0000000000000007E-2</v>
      </c>
    </row>
    <row r="254" spans="2:4" x14ac:dyDescent="0.3">
      <c r="B254" s="98" t="s">
        <v>663</v>
      </c>
      <c r="C254">
        <v>39</v>
      </c>
      <c r="D254" s="98">
        <v>7.0000000000000007E-2</v>
      </c>
    </row>
    <row r="255" spans="2:4" x14ac:dyDescent="0.3">
      <c r="B255" s="98" t="s">
        <v>664</v>
      </c>
      <c r="C255">
        <v>42</v>
      </c>
      <c r="D255" s="98">
        <v>7.0000000000000007E-2</v>
      </c>
    </row>
    <row r="256" spans="2:4" x14ac:dyDescent="0.3">
      <c r="B256" s="98" t="s">
        <v>665</v>
      </c>
      <c r="C256">
        <v>46</v>
      </c>
      <c r="D256" s="98">
        <v>7.0000000000000007E-2</v>
      </c>
    </row>
    <row r="257" spans="2:4" x14ac:dyDescent="0.3">
      <c r="B257" s="98" t="s">
        <v>666</v>
      </c>
      <c r="C257">
        <v>50</v>
      </c>
      <c r="D257" s="98">
        <v>7.0000000000000007E-2</v>
      </c>
    </row>
    <row r="258" spans="2:4" x14ac:dyDescent="0.3">
      <c r="B258" s="98" t="s">
        <v>667</v>
      </c>
      <c r="C258">
        <v>55</v>
      </c>
      <c r="D258" s="98">
        <v>7.0000000000000007E-2</v>
      </c>
    </row>
    <row r="259" spans="2:4" x14ac:dyDescent="0.3">
      <c r="B259" s="98" t="s">
        <v>668</v>
      </c>
      <c r="C259">
        <v>60</v>
      </c>
      <c r="D259" s="98">
        <v>7.0000000000000007E-2</v>
      </c>
    </row>
    <row r="260" spans="2:4" x14ac:dyDescent="0.3">
      <c r="B260" s="98" t="s">
        <v>669</v>
      </c>
      <c r="C260">
        <v>65</v>
      </c>
      <c r="D260" s="98">
        <v>7.0000000000000007E-2</v>
      </c>
    </row>
    <row r="261" spans="2:4" x14ac:dyDescent="0.3">
      <c r="B261" s="98" t="s">
        <v>670</v>
      </c>
      <c r="C261">
        <v>71</v>
      </c>
      <c r="D261" s="98">
        <v>7.0000000000000007E-2</v>
      </c>
    </row>
    <row r="262" spans="2:4" x14ac:dyDescent="0.3">
      <c r="B262" s="98" t="s">
        <v>671</v>
      </c>
      <c r="C262">
        <v>78</v>
      </c>
      <c r="D262" s="98">
        <v>7.0000000000000007E-2</v>
      </c>
    </row>
    <row r="263" spans="2:4" s="98" customFormat="1" x14ac:dyDescent="0.3">
      <c r="B263" s="98" t="s">
        <v>634</v>
      </c>
      <c r="C263" s="98">
        <v>17</v>
      </c>
      <c r="D263" s="98">
        <v>0.01</v>
      </c>
    </row>
    <row r="264" spans="2:4" s="98" customFormat="1" x14ac:dyDescent="0.3">
      <c r="B264" s="98" t="s">
        <v>635</v>
      </c>
      <c r="C264" s="98">
        <v>80</v>
      </c>
      <c r="D264" s="98">
        <v>0.01</v>
      </c>
    </row>
    <row r="265" spans="2:4" s="98" customFormat="1" x14ac:dyDescent="0.3">
      <c r="B265" s="98" t="s">
        <v>636</v>
      </c>
      <c r="C265" s="98">
        <v>19</v>
      </c>
      <c r="D265" s="98">
        <v>0.01</v>
      </c>
    </row>
    <row r="266" spans="2:4" s="98" customFormat="1" x14ac:dyDescent="0.3">
      <c r="B266" s="98" t="s">
        <v>637</v>
      </c>
      <c r="C266" s="98">
        <v>20</v>
      </c>
      <c r="D266" s="98">
        <v>0.01</v>
      </c>
    </row>
    <row r="267" spans="2:4" s="98" customFormat="1" x14ac:dyDescent="0.3">
      <c r="B267" s="98" t="s">
        <v>638</v>
      </c>
      <c r="C267" s="98">
        <v>22</v>
      </c>
      <c r="D267" s="98">
        <v>0.01</v>
      </c>
    </row>
    <row r="268" spans="2:4" s="98" customFormat="1" x14ac:dyDescent="0.3">
      <c r="B268" s="98" t="s">
        <v>639</v>
      </c>
      <c r="C268" s="98">
        <v>25</v>
      </c>
      <c r="D268" s="98">
        <v>0.01</v>
      </c>
    </row>
    <row r="269" spans="2:4" s="98" customFormat="1" x14ac:dyDescent="0.3">
      <c r="B269" s="98" t="s">
        <v>640</v>
      </c>
      <c r="C269" s="98">
        <v>27</v>
      </c>
      <c r="D269" s="98">
        <v>0.01</v>
      </c>
    </row>
    <row r="270" spans="2:4" s="98" customFormat="1" x14ac:dyDescent="0.3">
      <c r="B270" s="98" t="s">
        <v>641</v>
      </c>
      <c r="C270" s="98">
        <v>29</v>
      </c>
      <c r="D270" s="98">
        <v>0.01</v>
      </c>
    </row>
    <row r="271" spans="2:4" s="98" customFormat="1" x14ac:dyDescent="0.3">
      <c r="B271" s="98" t="s">
        <v>642</v>
      </c>
      <c r="C271" s="98">
        <v>32</v>
      </c>
      <c r="D271" s="98">
        <v>0.01</v>
      </c>
    </row>
    <row r="272" spans="2:4" s="98" customFormat="1" x14ac:dyDescent="0.3">
      <c r="B272" s="98" t="s">
        <v>643</v>
      </c>
      <c r="C272" s="98">
        <v>35</v>
      </c>
      <c r="D272" s="98">
        <v>0.01</v>
      </c>
    </row>
    <row r="273" spans="2:4" s="98" customFormat="1" x14ac:dyDescent="0.3">
      <c r="B273" s="98" t="s">
        <v>644</v>
      </c>
      <c r="C273" s="98">
        <v>39</v>
      </c>
      <c r="D273" s="98">
        <v>0.01</v>
      </c>
    </row>
    <row r="274" spans="2:4" s="98" customFormat="1" x14ac:dyDescent="0.3">
      <c r="B274" s="98" t="s">
        <v>645</v>
      </c>
      <c r="C274" s="98">
        <v>42</v>
      </c>
      <c r="D274" s="98">
        <v>0.01</v>
      </c>
    </row>
    <row r="275" spans="2:4" s="98" customFormat="1" x14ac:dyDescent="0.3">
      <c r="B275" s="98" t="s">
        <v>646</v>
      </c>
      <c r="C275" s="98">
        <v>46</v>
      </c>
      <c r="D275" s="98">
        <v>0.01</v>
      </c>
    </row>
    <row r="276" spans="2:4" s="98" customFormat="1" x14ac:dyDescent="0.3">
      <c r="B276" s="98" t="s">
        <v>647</v>
      </c>
      <c r="C276" s="98">
        <v>50</v>
      </c>
      <c r="D276" s="98">
        <v>0.01</v>
      </c>
    </row>
    <row r="277" spans="2:4" s="98" customFormat="1" x14ac:dyDescent="0.3">
      <c r="B277" s="98" t="s">
        <v>648</v>
      </c>
      <c r="C277" s="98">
        <v>55</v>
      </c>
      <c r="D277" s="98">
        <v>0.01</v>
      </c>
    </row>
    <row r="278" spans="2:4" s="98" customFormat="1" x14ac:dyDescent="0.3">
      <c r="B278" s="98" t="s">
        <v>649</v>
      </c>
      <c r="C278" s="98">
        <v>60</v>
      </c>
      <c r="D278" s="98">
        <v>0.01</v>
      </c>
    </row>
    <row r="279" spans="2:4" s="98" customFormat="1" x14ac:dyDescent="0.3">
      <c r="B279" s="98" t="s">
        <v>650</v>
      </c>
      <c r="C279" s="98">
        <v>65</v>
      </c>
      <c r="D279" s="98">
        <v>0.01</v>
      </c>
    </row>
    <row r="280" spans="2:4" s="98" customFormat="1" x14ac:dyDescent="0.3">
      <c r="B280" s="98" t="s">
        <v>651</v>
      </c>
      <c r="C280" s="98">
        <v>71</v>
      </c>
      <c r="D280" s="98">
        <v>0.01</v>
      </c>
    </row>
    <row r="281" spans="2:4" s="98" customFormat="1" x14ac:dyDescent="0.3">
      <c r="B281" s="98" t="s">
        <v>652</v>
      </c>
      <c r="C281" s="98">
        <v>78</v>
      </c>
      <c r="D281" s="98">
        <v>0.01</v>
      </c>
    </row>
    <row r="282" spans="2:4" x14ac:dyDescent="0.3">
      <c r="B282" s="98" t="s">
        <v>345</v>
      </c>
      <c r="C282">
        <v>1</v>
      </c>
      <c r="D282">
        <v>0.02</v>
      </c>
    </row>
    <row r="283" spans="2:4" x14ac:dyDescent="0.3">
      <c r="B283" s="98" t="s">
        <v>362</v>
      </c>
      <c r="C283" s="98">
        <v>2</v>
      </c>
      <c r="D283" s="98">
        <v>0.02</v>
      </c>
    </row>
    <row r="284" spans="2:4" x14ac:dyDescent="0.3">
      <c r="B284" s="98" t="s">
        <v>346</v>
      </c>
      <c r="C284" s="98">
        <v>1</v>
      </c>
      <c r="D284" s="98">
        <v>0.02</v>
      </c>
    </row>
    <row r="285" spans="2:4" x14ac:dyDescent="0.3">
      <c r="B285" s="98" t="s">
        <v>344</v>
      </c>
      <c r="C285" s="98">
        <v>1</v>
      </c>
      <c r="D285" s="98">
        <v>0.02</v>
      </c>
    </row>
    <row r="286" spans="2:4" x14ac:dyDescent="0.3">
      <c r="B286" s="98" t="s">
        <v>347</v>
      </c>
      <c r="C286" s="98">
        <v>1</v>
      </c>
      <c r="D286" s="98">
        <v>0.02</v>
      </c>
    </row>
    <row r="287" spans="2:4" x14ac:dyDescent="0.3">
      <c r="B287" s="98" t="s">
        <v>348</v>
      </c>
      <c r="C287" s="98">
        <v>1</v>
      </c>
      <c r="D287" s="98">
        <v>0.02</v>
      </c>
    </row>
    <row r="288" spans="2:4" x14ac:dyDescent="0.3">
      <c r="B288" s="98" t="s">
        <v>349</v>
      </c>
      <c r="C288" s="98">
        <v>1.5</v>
      </c>
      <c r="D288" s="98">
        <v>0.02</v>
      </c>
    </row>
    <row r="289" spans="2:4" x14ac:dyDescent="0.3">
      <c r="B289" s="98" t="s">
        <v>350</v>
      </c>
      <c r="C289" s="98">
        <v>1.5</v>
      </c>
      <c r="D289" s="98">
        <v>0.02</v>
      </c>
    </row>
    <row r="290" spans="2:4" x14ac:dyDescent="0.3">
      <c r="B290" s="98" t="s">
        <v>351</v>
      </c>
      <c r="C290" s="98">
        <v>1.5</v>
      </c>
      <c r="D290" s="98">
        <v>0.02</v>
      </c>
    </row>
    <row r="291" spans="2:4" x14ac:dyDescent="0.3">
      <c r="B291" s="98" t="s">
        <v>352</v>
      </c>
      <c r="C291" s="98">
        <v>1.5</v>
      </c>
      <c r="D291" s="98">
        <v>0.02</v>
      </c>
    </row>
    <row r="292" spans="2:4" x14ac:dyDescent="0.3">
      <c r="B292" s="98" t="s">
        <v>353</v>
      </c>
      <c r="C292" s="98">
        <v>1.5</v>
      </c>
      <c r="D292" s="98">
        <v>0.02</v>
      </c>
    </row>
    <row r="293" spans="2:4" x14ac:dyDescent="0.3">
      <c r="B293" s="98" t="s">
        <v>354</v>
      </c>
      <c r="C293" s="98">
        <v>1.5</v>
      </c>
      <c r="D293" s="98">
        <v>0.02</v>
      </c>
    </row>
    <row r="294" spans="2:4" x14ac:dyDescent="0.3">
      <c r="B294" s="98" t="s">
        <v>355</v>
      </c>
      <c r="C294" s="98">
        <v>1.5</v>
      </c>
      <c r="D294" s="98">
        <v>0.02</v>
      </c>
    </row>
    <row r="295" spans="2:4" x14ac:dyDescent="0.3">
      <c r="B295" s="98" t="s">
        <v>356</v>
      </c>
      <c r="C295" s="98">
        <v>1.5</v>
      </c>
      <c r="D295" s="98">
        <v>0.02</v>
      </c>
    </row>
    <row r="296" spans="2:4" x14ac:dyDescent="0.3">
      <c r="B296" s="98" t="s">
        <v>357</v>
      </c>
      <c r="C296" s="98">
        <v>1.5</v>
      </c>
      <c r="D296" s="98">
        <v>0.02</v>
      </c>
    </row>
    <row r="297" spans="2:4" x14ac:dyDescent="0.3">
      <c r="B297" s="98" t="s">
        <v>358</v>
      </c>
      <c r="C297" s="98">
        <v>1.5</v>
      </c>
      <c r="D297" s="98">
        <v>0.02</v>
      </c>
    </row>
    <row r="298" spans="2:4" x14ac:dyDescent="0.3">
      <c r="B298" s="98" t="s">
        <v>359</v>
      </c>
      <c r="C298" s="98">
        <v>1.5</v>
      </c>
      <c r="D298" s="98">
        <v>0.02</v>
      </c>
    </row>
    <row r="299" spans="2:4" x14ac:dyDescent="0.3">
      <c r="B299" s="98" t="s">
        <v>360</v>
      </c>
      <c r="C299" s="98">
        <v>2</v>
      </c>
      <c r="D299" s="98">
        <v>0.02</v>
      </c>
    </row>
    <row r="300" spans="2:4" x14ac:dyDescent="0.3">
      <c r="B300" s="98" t="s">
        <v>361</v>
      </c>
      <c r="C300" s="98">
        <v>2</v>
      </c>
      <c r="D300" s="98">
        <v>0.02</v>
      </c>
    </row>
    <row r="301" spans="2:4" x14ac:dyDescent="0.3">
      <c r="B301" s="98" t="s">
        <v>363</v>
      </c>
      <c r="C301">
        <v>10</v>
      </c>
      <c r="D301">
        <v>5.0000000000000001E-3</v>
      </c>
    </row>
    <row r="302" spans="2:4" x14ac:dyDescent="0.3">
      <c r="B302" s="98" t="s">
        <v>381</v>
      </c>
      <c r="C302">
        <v>50</v>
      </c>
      <c r="D302" s="98">
        <v>5.0000000000000001E-3</v>
      </c>
    </row>
    <row r="303" spans="2:4" x14ac:dyDescent="0.3">
      <c r="B303" s="98" t="s">
        <v>364</v>
      </c>
      <c r="C303">
        <v>11</v>
      </c>
      <c r="D303" s="98">
        <v>5.0000000000000001E-3</v>
      </c>
    </row>
    <row r="304" spans="2:4" x14ac:dyDescent="0.3">
      <c r="B304" s="98" t="s">
        <v>365</v>
      </c>
      <c r="C304">
        <v>13</v>
      </c>
      <c r="D304" s="98">
        <v>5.0000000000000001E-3</v>
      </c>
    </row>
    <row r="305" spans="2:4" x14ac:dyDescent="0.3">
      <c r="B305" s="98" t="s">
        <v>366</v>
      </c>
      <c r="C305">
        <v>14</v>
      </c>
      <c r="D305" s="98">
        <v>5.0000000000000001E-3</v>
      </c>
    </row>
    <row r="306" spans="2:4" x14ac:dyDescent="0.3">
      <c r="B306" s="98" t="s">
        <v>367</v>
      </c>
      <c r="C306">
        <v>15</v>
      </c>
      <c r="D306" s="98">
        <v>5.0000000000000001E-3</v>
      </c>
    </row>
    <row r="307" spans="2:4" x14ac:dyDescent="0.3">
      <c r="B307" s="98" t="s">
        <v>368</v>
      </c>
      <c r="C307">
        <v>17</v>
      </c>
      <c r="D307" s="98">
        <v>5.0000000000000001E-3</v>
      </c>
    </row>
    <row r="308" spans="2:4" x14ac:dyDescent="0.3">
      <c r="B308" s="98" t="s">
        <v>369</v>
      </c>
      <c r="C308">
        <v>18</v>
      </c>
      <c r="D308" s="98">
        <v>5.0000000000000001E-3</v>
      </c>
    </row>
    <row r="309" spans="2:4" x14ac:dyDescent="0.3">
      <c r="B309" s="98" t="s">
        <v>370</v>
      </c>
      <c r="C309">
        <v>20</v>
      </c>
      <c r="D309" s="98">
        <v>5.0000000000000001E-3</v>
      </c>
    </row>
    <row r="310" spans="2:4" x14ac:dyDescent="0.3">
      <c r="B310" s="98" t="s">
        <v>371</v>
      </c>
      <c r="C310">
        <v>22</v>
      </c>
      <c r="D310" s="98">
        <v>5.0000000000000001E-3</v>
      </c>
    </row>
    <row r="311" spans="2:4" x14ac:dyDescent="0.3">
      <c r="B311" s="98" t="s">
        <v>372</v>
      </c>
      <c r="C311">
        <v>24</v>
      </c>
      <c r="D311" s="98">
        <v>5.0000000000000001E-3</v>
      </c>
    </row>
    <row r="312" spans="2:4" x14ac:dyDescent="0.3">
      <c r="B312" s="98" t="s">
        <v>373</v>
      </c>
      <c r="C312">
        <v>26</v>
      </c>
      <c r="D312" s="98">
        <v>5.0000000000000001E-3</v>
      </c>
    </row>
    <row r="313" spans="2:4" x14ac:dyDescent="0.3">
      <c r="B313" s="98" t="s">
        <v>374</v>
      </c>
      <c r="C313">
        <v>29</v>
      </c>
      <c r="D313" s="98">
        <v>5.0000000000000001E-3</v>
      </c>
    </row>
    <row r="314" spans="2:4" x14ac:dyDescent="0.3">
      <c r="B314" s="98" t="s">
        <v>375</v>
      </c>
      <c r="C314">
        <v>31</v>
      </c>
      <c r="D314" s="98">
        <v>5.0000000000000001E-3</v>
      </c>
    </row>
    <row r="315" spans="2:4" x14ac:dyDescent="0.3">
      <c r="B315" s="98" t="s">
        <v>376</v>
      </c>
      <c r="C315">
        <v>34</v>
      </c>
      <c r="D315" s="98">
        <v>5.0000000000000001E-3</v>
      </c>
    </row>
    <row r="316" spans="2:4" x14ac:dyDescent="0.3">
      <c r="B316" s="98" t="s">
        <v>377</v>
      </c>
      <c r="C316">
        <v>37</v>
      </c>
      <c r="D316" s="98">
        <v>5.0000000000000001E-3</v>
      </c>
    </row>
    <row r="317" spans="2:4" x14ac:dyDescent="0.3">
      <c r="B317" s="98" t="s">
        <v>378</v>
      </c>
      <c r="C317">
        <v>41</v>
      </c>
      <c r="D317" s="98">
        <v>5.0000000000000001E-3</v>
      </c>
    </row>
    <row r="318" spans="2:4" x14ac:dyDescent="0.3">
      <c r="B318" s="98" t="s">
        <v>379</v>
      </c>
      <c r="C318">
        <v>44</v>
      </c>
      <c r="D318" s="98">
        <v>5.0000000000000001E-3</v>
      </c>
    </row>
    <row r="319" spans="2:4" x14ac:dyDescent="0.3">
      <c r="B319" s="98" t="s">
        <v>380</v>
      </c>
      <c r="C319">
        <v>48</v>
      </c>
      <c r="D319" s="98">
        <v>5.0000000000000001E-3</v>
      </c>
    </row>
    <row r="320" spans="2:4" x14ac:dyDescent="0.3">
      <c r="B320" s="98" t="s">
        <v>382</v>
      </c>
      <c r="C320">
        <v>17</v>
      </c>
      <c r="D320">
        <v>0</v>
      </c>
    </row>
    <row r="321" spans="2:4" x14ac:dyDescent="0.3">
      <c r="B321" s="98" t="s">
        <v>400</v>
      </c>
      <c r="C321">
        <v>80</v>
      </c>
      <c r="D321" s="98">
        <v>0</v>
      </c>
    </row>
    <row r="322" spans="2:4" x14ac:dyDescent="0.3">
      <c r="B322" s="98" t="s">
        <v>383</v>
      </c>
      <c r="C322">
        <v>19</v>
      </c>
      <c r="D322" s="98">
        <v>0</v>
      </c>
    </row>
    <row r="323" spans="2:4" x14ac:dyDescent="0.3">
      <c r="B323" s="98" t="s">
        <v>384</v>
      </c>
      <c r="C323">
        <v>20</v>
      </c>
      <c r="D323" s="98">
        <v>0</v>
      </c>
    </row>
    <row r="324" spans="2:4" x14ac:dyDescent="0.3">
      <c r="B324" s="98" t="s">
        <v>385</v>
      </c>
      <c r="C324">
        <v>22</v>
      </c>
      <c r="D324" s="98">
        <v>0</v>
      </c>
    </row>
    <row r="325" spans="2:4" x14ac:dyDescent="0.3">
      <c r="B325" s="98" t="s">
        <v>386</v>
      </c>
      <c r="C325">
        <v>25</v>
      </c>
      <c r="D325" s="98">
        <v>0</v>
      </c>
    </row>
    <row r="326" spans="2:4" x14ac:dyDescent="0.3">
      <c r="B326" s="98" t="s">
        <v>387</v>
      </c>
      <c r="C326">
        <v>27</v>
      </c>
      <c r="D326" s="98">
        <v>0</v>
      </c>
    </row>
    <row r="327" spans="2:4" x14ac:dyDescent="0.3">
      <c r="B327" s="98" t="s">
        <v>388</v>
      </c>
      <c r="C327">
        <v>29</v>
      </c>
      <c r="D327" s="98">
        <v>0</v>
      </c>
    </row>
    <row r="328" spans="2:4" x14ac:dyDescent="0.3">
      <c r="B328" s="98" t="s">
        <v>389</v>
      </c>
      <c r="C328">
        <v>32</v>
      </c>
      <c r="D328" s="98">
        <v>0</v>
      </c>
    </row>
    <row r="329" spans="2:4" x14ac:dyDescent="0.3">
      <c r="B329" s="98" t="s">
        <v>390</v>
      </c>
      <c r="C329">
        <v>35</v>
      </c>
      <c r="D329" s="98">
        <v>0</v>
      </c>
    </row>
    <row r="330" spans="2:4" x14ac:dyDescent="0.3">
      <c r="B330" s="98" t="s">
        <v>391</v>
      </c>
      <c r="C330">
        <v>39</v>
      </c>
      <c r="D330" s="98">
        <v>0</v>
      </c>
    </row>
    <row r="331" spans="2:4" x14ac:dyDescent="0.3">
      <c r="B331" s="98" t="s">
        <v>392</v>
      </c>
      <c r="C331">
        <v>42</v>
      </c>
      <c r="D331" s="98">
        <v>0</v>
      </c>
    </row>
    <row r="332" spans="2:4" x14ac:dyDescent="0.3">
      <c r="B332" s="98" t="s">
        <v>393</v>
      </c>
      <c r="C332">
        <v>46</v>
      </c>
      <c r="D332" s="98">
        <v>0</v>
      </c>
    </row>
    <row r="333" spans="2:4" x14ac:dyDescent="0.3">
      <c r="B333" s="98" t="s">
        <v>394</v>
      </c>
      <c r="C333">
        <v>50</v>
      </c>
      <c r="D333" s="98">
        <v>0</v>
      </c>
    </row>
    <row r="334" spans="2:4" x14ac:dyDescent="0.3">
      <c r="B334" s="98" t="s">
        <v>395</v>
      </c>
      <c r="C334">
        <v>55</v>
      </c>
      <c r="D334" s="98">
        <v>0</v>
      </c>
    </row>
    <row r="335" spans="2:4" x14ac:dyDescent="0.3">
      <c r="B335" s="98" t="s">
        <v>396</v>
      </c>
      <c r="C335">
        <v>60</v>
      </c>
      <c r="D335" s="98">
        <v>0</v>
      </c>
    </row>
    <row r="336" spans="2:4" x14ac:dyDescent="0.3">
      <c r="B336" s="98" t="s">
        <v>397</v>
      </c>
      <c r="C336">
        <v>65</v>
      </c>
      <c r="D336" s="98">
        <v>0</v>
      </c>
    </row>
    <row r="337" spans="2:4" x14ac:dyDescent="0.3">
      <c r="B337" s="98" t="s">
        <v>398</v>
      </c>
      <c r="C337">
        <v>71</v>
      </c>
      <c r="D337" s="98">
        <v>0</v>
      </c>
    </row>
    <row r="338" spans="2:4" x14ac:dyDescent="0.3">
      <c r="B338" s="98" t="s">
        <v>399</v>
      </c>
      <c r="C338">
        <v>78</v>
      </c>
      <c r="D338" s="98">
        <v>0</v>
      </c>
    </row>
    <row r="339" spans="2:4" x14ac:dyDescent="0.3">
      <c r="B339" s="98" t="s">
        <v>287</v>
      </c>
      <c r="C339">
        <v>1</v>
      </c>
      <c r="D339">
        <v>0.02</v>
      </c>
    </row>
    <row r="340" spans="2:4" x14ac:dyDescent="0.3">
      <c r="B340" s="98" t="s">
        <v>305</v>
      </c>
      <c r="C340" s="98">
        <v>2</v>
      </c>
      <c r="D340" s="98">
        <v>0.02</v>
      </c>
    </row>
    <row r="341" spans="2:4" x14ac:dyDescent="0.3">
      <c r="B341" s="98" t="s">
        <v>288</v>
      </c>
      <c r="C341" s="98">
        <v>1</v>
      </c>
      <c r="D341" s="98">
        <v>0.02</v>
      </c>
    </row>
    <row r="342" spans="2:4" x14ac:dyDescent="0.3">
      <c r="B342" s="98" t="s">
        <v>289</v>
      </c>
      <c r="C342" s="98">
        <v>1</v>
      </c>
      <c r="D342" s="98">
        <v>0.02</v>
      </c>
    </row>
    <row r="343" spans="2:4" x14ac:dyDescent="0.3">
      <c r="B343" s="98" t="s">
        <v>290</v>
      </c>
      <c r="C343" s="98">
        <v>1</v>
      </c>
      <c r="D343" s="98">
        <v>0.02</v>
      </c>
    </row>
    <row r="344" spans="2:4" x14ac:dyDescent="0.3">
      <c r="B344" s="98" t="s">
        <v>291</v>
      </c>
      <c r="C344" s="98">
        <v>1</v>
      </c>
      <c r="D344" s="98">
        <v>0.02</v>
      </c>
    </row>
    <row r="345" spans="2:4" x14ac:dyDescent="0.3">
      <c r="B345" s="98" t="s">
        <v>292</v>
      </c>
      <c r="C345" s="98">
        <v>1.5</v>
      </c>
      <c r="D345" s="98">
        <v>0.02</v>
      </c>
    </row>
    <row r="346" spans="2:4" x14ac:dyDescent="0.3">
      <c r="B346" s="98" t="s">
        <v>293</v>
      </c>
      <c r="C346" s="98">
        <v>1.5</v>
      </c>
      <c r="D346" s="98">
        <v>0.02</v>
      </c>
    </row>
    <row r="347" spans="2:4" x14ac:dyDescent="0.3">
      <c r="B347" s="98" t="s">
        <v>294</v>
      </c>
      <c r="C347" s="98">
        <v>1.5</v>
      </c>
      <c r="D347" s="98">
        <v>0.02</v>
      </c>
    </row>
    <row r="348" spans="2:4" x14ac:dyDescent="0.3">
      <c r="B348" s="98" t="s">
        <v>295</v>
      </c>
      <c r="C348" s="98">
        <v>1.5</v>
      </c>
      <c r="D348" s="98">
        <v>0.02</v>
      </c>
    </row>
    <row r="349" spans="2:4" x14ac:dyDescent="0.3">
      <c r="B349" s="98" t="s">
        <v>296</v>
      </c>
      <c r="C349" s="98">
        <v>1.5</v>
      </c>
      <c r="D349" s="98">
        <v>0.02</v>
      </c>
    </row>
    <row r="350" spans="2:4" x14ac:dyDescent="0.3">
      <c r="B350" s="98" t="s">
        <v>297</v>
      </c>
      <c r="C350" s="98">
        <v>1.5</v>
      </c>
      <c r="D350" s="98">
        <v>0.02</v>
      </c>
    </row>
    <row r="351" spans="2:4" x14ac:dyDescent="0.3">
      <c r="B351" s="98" t="s">
        <v>298</v>
      </c>
      <c r="C351" s="98">
        <v>1.5</v>
      </c>
      <c r="D351" s="98">
        <v>0.02</v>
      </c>
    </row>
    <row r="352" spans="2:4" x14ac:dyDescent="0.3">
      <c r="B352" s="98" t="s">
        <v>299</v>
      </c>
      <c r="C352" s="98">
        <v>1.5</v>
      </c>
      <c r="D352" s="98">
        <v>0.02</v>
      </c>
    </row>
    <row r="353" spans="2:4" x14ac:dyDescent="0.3">
      <c r="B353" s="98" t="s">
        <v>300</v>
      </c>
      <c r="C353" s="98">
        <v>1.5</v>
      </c>
      <c r="D353" s="98">
        <v>0.02</v>
      </c>
    </row>
    <row r="354" spans="2:4" x14ac:dyDescent="0.3">
      <c r="B354" s="98" t="s">
        <v>301</v>
      </c>
      <c r="C354" s="98">
        <v>1.5</v>
      </c>
      <c r="D354" s="98">
        <v>0.02</v>
      </c>
    </row>
    <row r="355" spans="2:4" x14ac:dyDescent="0.3">
      <c r="B355" s="98" t="s">
        <v>302</v>
      </c>
      <c r="C355" s="98">
        <v>1.5</v>
      </c>
      <c r="D355" s="98">
        <v>0.02</v>
      </c>
    </row>
    <row r="356" spans="2:4" x14ac:dyDescent="0.3">
      <c r="B356" s="98" t="s">
        <v>303</v>
      </c>
      <c r="C356" s="98">
        <v>2</v>
      </c>
      <c r="D356" s="98">
        <v>0.02</v>
      </c>
    </row>
    <row r="357" spans="2:4" x14ac:dyDescent="0.3">
      <c r="B357" s="98" t="s">
        <v>304</v>
      </c>
      <c r="C357" s="98">
        <v>2</v>
      </c>
      <c r="D357" s="98">
        <v>0.02</v>
      </c>
    </row>
    <row r="358" spans="2:4" x14ac:dyDescent="0.3">
      <c r="B358" s="98" t="s">
        <v>420</v>
      </c>
      <c r="C358" s="98">
        <v>3</v>
      </c>
      <c r="D358">
        <v>2E-3</v>
      </c>
    </row>
    <row r="359" spans="2:4" x14ac:dyDescent="0.3">
      <c r="B359" s="98" t="s">
        <v>438</v>
      </c>
      <c r="C359" s="98">
        <v>30</v>
      </c>
      <c r="D359" s="98">
        <v>2E-3</v>
      </c>
    </row>
    <row r="360" spans="2:4" x14ac:dyDescent="0.3">
      <c r="B360" s="98" t="s">
        <v>421</v>
      </c>
      <c r="C360" s="98">
        <v>3</v>
      </c>
      <c r="D360" s="98">
        <v>2E-3</v>
      </c>
    </row>
    <row r="361" spans="2:4" x14ac:dyDescent="0.3">
      <c r="B361" s="98" t="s">
        <v>422</v>
      </c>
      <c r="C361" s="98">
        <v>3</v>
      </c>
      <c r="D361" s="98">
        <v>2E-3</v>
      </c>
    </row>
    <row r="362" spans="2:4" x14ac:dyDescent="0.3">
      <c r="B362" s="98" t="s">
        <v>423</v>
      </c>
      <c r="C362" s="98">
        <v>3</v>
      </c>
      <c r="D362" s="98">
        <v>2E-3</v>
      </c>
    </row>
    <row r="363" spans="2:4" x14ac:dyDescent="0.3">
      <c r="B363" s="98" t="s">
        <v>424</v>
      </c>
      <c r="C363" s="98">
        <v>3</v>
      </c>
      <c r="D363" s="98">
        <v>2E-3</v>
      </c>
    </row>
    <row r="364" spans="2:4" x14ac:dyDescent="0.3">
      <c r="B364" s="98" t="s">
        <v>425</v>
      </c>
      <c r="C364" s="98">
        <v>3</v>
      </c>
      <c r="D364" s="98">
        <v>2E-3</v>
      </c>
    </row>
    <row r="365" spans="2:4" x14ac:dyDescent="0.3">
      <c r="B365" s="98" t="s">
        <v>426</v>
      </c>
      <c r="C365" s="98">
        <v>3</v>
      </c>
      <c r="D365" s="98">
        <v>2E-3</v>
      </c>
    </row>
    <row r="366" spans="2:4" x14ac:dyDescent="0.3">
      <c r="B366" s="98" t="s">
        <v>427</v>
      </c>
      <c r="C366" s="98">
        <v>3</v>
      </c>
      <c r="D366" s="98">
        <v>2E-3</v>
      </c>
    </row>
    <row r="367" spans="2:4" x14ac:dyDescent="0.3">
      <c r="B367" s="98" t="s">
        <v>428</v>
      </c>
      <c r="C367" s="98">
        <v>3</v>
      </c>
      <c r="D367" s="98">
        <v>2E-3</v>
      </c>
    </row>
    <row r="368" spans="2:4" x14ac:dyDescent="0.3">
      <c r="B368" s="98" t="s">
        <v>429</v>
      </c>
      <c r="C368" s="98">
        <v>3</v>
      </c>
      <c r="D368" s="98">
        <v>2E-3</v>
      </c>
    </row>
    <row r="369" spans="2:4" x14ac:dyDescent="0.3">
      <c r="B369" s="98" t="s">
        <v>430</v>
      </c>
      <c r="C369" s="98">
        <v>3</v>
      </c>
      <c r="D369" s="98">
        <v>2E-3</v>
      </c>
    </row>
    <row r="370" spans="2:4" x14ac:dyDescent="0.3">
      <c r="B370" s="98" t="s">
        <v>431</v>
      </c>
      <c r="C370" s="98">
        <v>3</v>
      </c>
      <c r="D370" s="98">
        <v>2E-3</v>
      </c>
    </row>
    <row r="371" spans="2:4" x14ac:dyDescent="0.3">
      <c r="B371" s="98" t="s">
        <v>432</v>
      </c>
      <c r="C371" s="98">
        <v>3</v>
      </c>
      <c r="D371" s="98">
        <v>2E-3</v>
      </c>
    </row>
    <row r="372" spans="2:4" x14ac:dyDescent="0.3">
      <c r="B372" s="98" t="s">
        <v>433</v>
      </c>
      <c r="C372" s="98">
        <v>3</v>
      </c>
      <c r="D372" s="98">
        <v>2E-3</v>
      </c>
    </row>
    <row r="373" spans="2:4" x14ac:dyDescent="0.3">
      <c r="B373" s="98" t="s">
        <v>434</v>
      </c>
      <c r="C373" s="98">
        <v>3</v>
      </c>
      <c r="D373" s="98">
        <v>2E-3</v>
      </c>
    </row>
    <row r="374" spans="2:4" x14ac:dyDescent="0.3">
      <c r="B374" s="98" t="s">
        <v>435</v>
      </c>
      <c r="C374" s="98">
        <v>3</v>
      </c>
      <c r="D374" s="98">
        <v>2E-3</v>
      </c>
    </row>
    <row r="375" spans="2:4" x14ac:dyDescent="0.3">
      <c r="B375" s="98" t="s">
        <v>436</v>
      </c>
      <c r="C375" s="98">
        <v>30</v>
      </c>
      <c r="D375" s="98">
        <v>2E-3</v>
      </c>
    </row>
    <row r="376" spans="2:4" x14ac:dyDescent="0.3">
      <c r="B376" s="98" t="s">
        <v>437</v>
      </c>
      <c r="C376" s="98">
        <v>30</v>
      </c>
      <c r="D376" s="98">
        <v>2E-3</v>
      </c>
    </row>
    <row r="377" spans="2:4" x14ac:dyDescent="0.3">
      <c r="B377" s="98" t="s">
        <v>439</v>
      </c>
      <c r="C377" s="98">
        <v>17</v>
      </c>
      <c r="D377" s="98">
        <v>2E-3</v>
      </c>
    </row>
    <row r="378" spans="2:4" x14ac:dyDescent="0.3">
      <c r="B378" s="98" t="s">
        <v>457</v>
      </c>
      <c r="C378" s="98">
        <v>80</v>
      </c>
      <c r="D378" s="98">
        <v>2E-3</v>
      </c>
    </row>
    <row r="379" spans="2:4" x14ac:dyDescent="0.3">
      <c r="B379" s="98" t="s">
        <v>440</v>
      </c>
      <c r="C379" s="98">
        <v>19</v>
      </c>
      <c r="D379" s="98">
        <v>2E-3</v>
      </c>
    </row>
    <row r="380" spans="2:4" x14ac:dyDescent="0.3">
      <c r="B380" s="98" t="s">
        <v>441</v>
      </c>
      <c r="C380" s="98">
        <v>20</v>
      </c>
      <c r="D380" s="98">
        <v>2E-3</v>
      </c>
    </row>
    <row r="381" spans="2:4" x14ac:dyDescent="0.3">
      <c r="B381" s="98" t="s">
        <v>442</v>
      </c>
      <c r="C381" s="98">
        <v>22</v>
      </c>
      <c r="D381" s="98">
        <v>2E-3</v>
      </c>
    </row>
    <row r="382" spans="2:4" x14ac:dyDescent="0.3">
      <c r="B382" s="98" t="s">
        <v>443</v>
      </c>
      <c r="C382">
        <v>25</v>
      </c>
      <c r="D382" s="98">
        <v>2E-3</v>
      </c>
    </row>
    <row r="383" spans="2:4" x14ac:dyDescent="0.3">
      <c r="B383" s="98" t="s">
        <v>444</v>
      </c>
      <c r="C383">
        <v>27</v>
      </c>
      <c r="D383" s="98">
        <v>2E-3</v>
      </c>
    </row>
    <row r="384" spans="2:4" x14ac:dyDescent="0.3">
      <c r="B384" s="98" t="s">
        <v>445</v>
      </c>
      <c r="C384">
        <v>29</v>
      </c>
      <c r="D384" s="98">
        <v>2E-3</v>
      </c>
    </row>
    <row r="385" spans="2:4" x14ac:dyDescent="0.3">
      <c r="B385" s="98" t="s">
        <v>446</v>
      </c>
      <c r="C385">
        <v>32</v>
      </c>
      <c r="D385" s="98">
        <v>2E-3</v>
      </c>
    </row>
    <row r="386" spans="2:4" x14ac:dyDescent="0.3">
      <c r="B386" s="98" t="s">
        <v>447</v>
      </c>
      <c r="C386">
        <v>35</v>
      </c>
      <c r="D386" s="98">
        <v>2E-3</v>
      </c>
    </row>
    <row r="387" spans="2:4" x14ac:dyDescent="0.3">
      <c r="B387" s="98" t="s">
        <v>448</v>
      </c>
      <c r="C387">
        <v>39</v>
      </c>
      <c r="D387" s="98">
        <v>2E-3</v>
      </c>
    </row>
    <row r="388" spans="2:4" x14ac:dyDescent="0.3">
      <c r="B388" s="98" t="s">
        <v>449</v>
      </c>
      <c r="C388">
        <v>42</v>
      </c>
      <c r="D388" s="98">
        <v>2E-3</v>
      </c>
    </row>
    <row r="389" spans="2:4" x14ac:dyDescent="0.3">
      <c r="B389" s="98" t="s">
        <v>450</v>
      </c>
      <c r="C389">
        <v>46</v>
      </c>
      <c r="D389" s="98">
        <v>2E-3</v>
      </c>
    </row>
    <row r="390" spans="2:4" x14ac:dyDescent="0.3">
      <c r="B390" s="98" t="s">
        <v>451</v>
      </c>
      <c r="C390">
        <v>50</v>
      </c>
      <c r="D390" s="98">
        <v>2E-3</v>
      </c>
    </row>
    <row r="391" spans="2:4" x14ac:dyDescent="0.3">
      <c r="B391" s="98" t="s">
        <v>452</v>
      </c>
      <c r="C391">
        <v>55</v>
      </c>
      <c r="D391" s="98">
        <v>2E-3</v>
      </c>
    </row>
    <row r="392" spans="2:4" x14ac:dyDescent="0.3">
      <c r="B392" s="98" t="s">
        <v>453</v>
      </c>
      <c r="C392">
        <v>60</v>
      </c>
      <c r="D392" s="98">
        <v>2E-3</v>
      </c>
    </row>
    <row r="393" spans="2:4" x14ac:dyDescent="0.3">
      <c r="B393" s="98" t="s">
        <v>454</v>
      </c>
      <c r="C393">
        <v>65</v>
      </c>
      <c r="D393" s="98">
        <v>2E-3</v>
      </c>
    </row>
    <row r="394" spans="2:4" x14ac:dyDescent="0.3">
      <c r="B394" s="98" t="s">
        <v>455</v>
      </c>
      <c r="C394" s="98">
        <v>71</v>
      </c>
      <c r="D394" s="98">
        <v>2E-3</v>
      </c>
    </row>
    <row r="395" spans="2:4" x14ac:dyDescent="0.3">
      <c r="B395" s="98" t="s">
        <v>456</v>
      </c>
      <c r="C395" s="98">
        <v>78</v>
      </c>
      <c r="D395" s="98">
        <v>2E-3</v>
      </c>
    </row>
    <row r="396" spans="2:4" x14ac:dyDescent="0.3">
      <c r="B396" s="98" t="s">
        <v>325</v>
      </c>
      <c r="C396">
        <v>2</v>
      </c>
      <c r="D396">
        <v>5.0000000000000001E-3</v>
      </c>
    </row>
    <row r="397" spans="2:4" x14ac:dyDescent="0.3">
      <c r="B397" s="98" t="s">
        <v>343</v>
      </c>
      <c r="C397" s="98">
        <v>5</v>
      </c>
      <c r="D397" s="98">
        <v>5.0000000000000001E-3</v>
      </c>
    </row>
    <row r="398" spans="2:4" x14ac:dyDescent="0.3">
      <c r="B398" s="98" t="s">
        <v>326</v>
      </c>
      <c r="C398" s="98">
        <v>2</v>
      </c>
      <c r="D398" s="98">
        <v>5.0000000000000001E-3</v>
      </c>
    </row>
    <row r="399" spans="2:4" x14ac:dyDescent="0.3">
      <c r="B399" s="98" t="s">
        <v>327</v>
      </c>
      <c r="C399" s="98">
        <v>2</v>
      </c>
      <c r="D399" s="98">
        <v>5.0000000000000001E-3</v>
      </c>
    </row>
    <row r="400" spans="2:4" x14ac:dyDescent="0.3">
      <c r="B400" s="98" t="s">
        <v>328</v>
      </c>
      <c r="C400" s="98">
        <v>2</v>
      </c>
      <c r="D400" s="98">
        <v>5.0000000000000001E-3</v>
      </c>
    </row>
    <row r="401" spans="2:4" x14ac:dyDescent="0.3">
      <c r="B401" s="98" t="s">
        <v>329</v>
      </c>
      <c r="C401">
        <v>2</v>
      </c>
      <c r="D401" s="98">
        <v>5.0000000000000001E-3</v>
      </c>
    </row>
    <row r="402" spans="2:4" x14ac:dyDescent="0.3">
      <c r="B402" s="98" t="s">
        <v>330</v>
      </c>
      <c r="C402">
        <v>4</v>
      </c>
      <c r="D402" s="98">
        <v>5.0000000000000001E-3</v>
      </c>
    </row>
    <row r="403" spans="2:4" x14ac:dyDescent="0.3">
      <c r="B403" s="98" t="s">
        <v>331</v>
      </c>
      <c r="C403">
        <v>4</v>
      </c>
      <c r="D403" s="98">
        <v>5.0000000000000001E-3</v>
      </c>
    </row>
    <row r="404" spans="2:4" x14ac:dyDescent="0.3">
      <c r="B404" s="98" t="s">
        <v>332</v>
      </c>
      <c r="C404">
        <v>4</v>
      </c>
      <c r="D404" s="98">
        <v>5.0000000000000001E-3</v>
      </c>
    </row>
    <row r="405" spans="2:4" x14ac:dyDescent="0.3">
      <c r="B405" s="98" t="s">
        <v>333</v>
      </c>
      <c r="C405">
        <v>4</v>
      </c>
      <c r="D405" s="98">
        <v>5.0000000000000001E-3</v>
      </c>
    </row>
    <row r="406" spans="2:4" x14ac:dyDescent="0.3">
      <c r="B406" s="98" t="s">
        <v>334</v>
      </c>
      <c r="C406">
        <v>4</v>
      </c>
      <c r="D406" s="98">
        <v>5.0000000000000001E-3</v>
      </c>
    </row>
    <row r="407" spans="2:4" x14ac:dyDescent="0.3">
      <c r="B407" s="98" t="s">
        <v>335</v>
      </c>
      <c r="C407">
        <v>4</v>
      </c>
      <c r="D407" s="98">
        <v>5.0000000000000001E-3</v>
      </c>
    </row>
    <row r="408" spans="2:4" x14ac:dyDescent="0.3">
      <c r="B408" s="98" t="s">
        <v>336</v>
      </c>
      <c r="C408">
        <v>4</v>
      </c>
      <c r="D408" s="98">
        <v>5.0000000000000001E-3</v>
      </c>
    </row>
    <row r="409" spans="2:4" x14ac:dyDescent="0.3">
      <c r="B409" s="98" t="s">
        <v>337</v>
      </c>
      <c r="C409">
        <v>4</v>
      </c>
      <c r="D409" s="98">
        <v>5.0000000000000001E-3</v>
      </c>
    </row>
    <row r="410" spans="2:4" x14ac:dyDescent="0.3">
      <c r="B410" s="98" t="s">
        <v>338</v>
      </c>
      <c r="C410">
        <v>4</v>
      </c>
      <c r="D410" s="98">
        <v>5.0000000000000001E-3</v>
      </c>
    </row>
    <row r="411" spans="2:4" x14ac:dyDescent="0.3">
      <c r="B411" s="98" t="s">
        <v>339</v>
      </c>
      <c r="C411">
        <v>4</v>
      </c>
      <c r="D411" s="98">
        <v>5.0000000000000001E-3</v>
      </c>
    </row>
    <row r="412" spans="2:4" x14ac:dyDescent="0.3">
      <c r="B412" s="98" t="s">
        <v>340</v>
      </c>
      <c r="C412">
        <v>4</v>
      </c>
      <c r="D412" s="98">
        <v>5.0000000000000001E-3</v>
      </c>
    </row>
    <row r="413" spans="2:4" x14ac:dyDescent="0.3">
      <c r="B413" s="98" t="s">
        <v>341</v>
      </c>
      <c r="C413">
        <v>5</v>
      </c>
      <c r="D413" s="98">
        <v>5.0000000000000001E-3</v>
      </c>
    </row>
    <row r="414" spans="2:4" x14ac:dyDescent="0.3">
      <c r="B414" s="98" t="s">
        <v>342</v>
      </c>
      <c r="C414">
        <v>5</v>
      </c>
      <c r="D414" s="98">
        <v>5.0000000000000001E-3</v>
      </c>
    </row>
    <row r="415" spans="2:4" x14ac:dyDescent="0.3">
      <c r="B415" s="98" t="s">
        <v>401</v>
      </c>
      <c r="C415">
        <v>66</v>
      </c>
      <c r="D415">
        <v>0</v>
      </c>
    </row>
    <row r="416" spans="2:4" x14ac:dyDescent="0.3">
      <c r="B416" s="98" t="s">
        <v>419</v>
      </c>
      <c r="C416">
        <v>80</v>
      </c>
      <c r="D416" s="98">
        <v>0</v>
      </c>
    </row>
    <row r="417" spans="2:4" x14ac:dyDescent="0.3">
      <c r="B417" s="98" t="s">
        <v>402</v>
      </c>
      <c r="C417">
        <v>68</v>
      </c>
      <c r="D417" s="98">
        <v>0</v>
      </c>
    </row>
    <row r="418" spans="2:4" x14ac:dyDescent="0.3">
      <c r="B418" s="98" t="s">
        <v>403</v>
      </c>
      <c r="C418">
        <v>70</v>
      </c>
      <c r="D418" s="98">
        <v>0</v>
      </c>
    </row>
    <row r="419" spans="2:4" x14ac:dyDescent="0.3">
      <c r="B419" s="98" t="s">
        <v>404</v>
      </c>
      <c r="C419">
        <v>71</v>
      </c>
      <c r="D419" s="98">
        <v>0</v>
      </c>
    </row>
    <row r="420" spans="2:4" x14ac:dyDescent="0.3">
      <c r="B420" s="98" t="s">
        <v>405</v>
      </c>
      <c r="C420">
        <v>73</v>
      </c>
      <c r="D420" s="98">
        <v>0</v>
      </c>
    </row>
    <row r="421" spans="2:4" x14ac:dyDescent="0.3">
      <c r="B421" s="98" t="s">
        <v>406</v>
      </c>
      <c r="C421">
        <v>74</v>
      </c>
      <c r="D421" s="98">
        <v>0</v>
      </c>
    </row>
    <row r="422" spans="2:4" x14ac:dyDescent="0.3">
      <c r="B422" s="98" t="s">
        <v>407</v>
      </c>
      <c r="C422">
        <v>75</v>
      </c>
      <c r="D422" s="98">
        <v>0</v>
      </c>
    </row>
    <row r="423" spans="2:4" x14ac:dyDescent="0.3">
      <c r="B423" s="98" t="s">
        <v>408</v>
      </c>
      <c r="C423">
        <v>76</v>
      </c>
      <c r="D423" s="98">
        <v>0</v>
      </c>
    </row>
    <row r="424" spans="2:4" x14ac:dyDescent="0.3">
      <c r="B424" s="98" t="s">
        <v>409</v>
      </c>
      <c r="C424">
        <v>77</v>
      </c>
      <c r="D424" s="98">
        <v>0</v>
      </c>
    </row>
    <row r="425" spans="2:4" x14ac:dyDescent="0.3">
      <c r="B425" s="98" t="s">
        <v>410</v>
      </c>
      <c r="C425">
        <v>77</v>
      </c>
      <c r="D425" s="98">
        <v>0</v>
      </c>
    </row>
    <row r="426" spans="2:4" x14ac:dyDescent="0.3">
      <c r="B426" s="98" t="s">
        <v>411</v>
      </c>
      <c r="C426">
        <v>78</v>
      </c>
      <c r="D426" s="98">
        <v>0</v>
      </c>
    </row>
    <row r="427" spans="2:4" x14ac:dyDescent="0.3">
      <c r="B427" s="98" t="s">
        <v>412</v>
      </c>
      <c r="C427">
        <v>78</v>
      </c>
      <c r="D427" s="98">
        <v>0</v>
      </c>
    </row>
    <row r="428" spans="2:4" x14ac:dyDescent="0.3">
      <c r="B428" s="98" t="s">
        <v>413</v>
      </c>
      <c r="C428">
        <v>78</v>
      </c>
      <c r="D428" s="98">
        <v>0</v>
      </c>
    </row>
    <row r="429" spans="2:4" x14ac:dyDescent="0.3">
      <c r="B429" s="98" t="s">
        <v>414</v>
      </c>
      <c r="C429">
        <v>79</v>
      </c>
      <c r="D429" s="98">
        <v>0</v>
      </c>
    </row>
    <row r="430" spans="2:4" x14ac:dyDescent="0.3">
      <c r="B430" s="98" t="s">
        <v>415</v>
      </c>
      <c r="C430">
        <v>79</v>
      </c>
      <c r="D430" s="98">
        <v>0</v>
      </c>
    </row>
    <row r="431" spans="2:4" x14ac:dyDescent="0.3">
      <c r="B431" s="98" t="s">
        <v>416</v>
      </c>
      <c r="C431">
        <v>79</v>
      </c>
      <c r="D431" s="98">
        <v>0</v>
      </c>
    </row>
    <row r="432" spans="2:4" x14ac:dyDescent="0.3">
      <c r="B432" s="98" t="s">
        <v>417</v>
      </c>
      <c r="C432">
        <v>79</v>
      </c>
      <c r="D432" s="98">
        <v>0</v>
      </c>
    </row>
    <row r="433" spans="2:4" x14ac:dyDescent="0.3">
      <c r="B433" s="98" t="s">
        <v>418</v>
      </c>
      <c r="C433">
        <v>80</v>
      </c>
      <c r="D433" s="98">
        <v>0</v>
      </c>
    </row>
  </sheetData>
  <sortState ref="B56:D416">
    <sortCondition ref="B56:B416"/>
  </sortState>
  <mergeCells count="22">
    <mergeCell ref="C1:K1"/>
    <mergeCell ref="C2:D2"/>
    <mergeCell ref="E2:F2"/>
    <mergeCell ref="G2:G3"/>
    <mergeCell ref="H2:H3"/>
    <mergeCell ref="I2:I3"/>
    <mergeCell ref="J2:J3"/>
    <mergeCell ref="M1:U1"/>
    <mergeCell ref="M2:N2"/>
    <mergeCell ref="O2:P2"/>
    <mergeCell ref="Q2:Q3"/>
    <mergeCell ref="R2:R3"/>
    <mergeCell ref="S2:S3"/>
    <mergeCell ref="T2:T3"/>
    <mergeCell ref="U2:U3"/>
    <mergeCell ref="M33:N33"/>
    <mergeCell ref="K2:K3"/>
    <mergeCell ref="I33:J33"/>
    <mergeCell ref="C32:G32"/>
    <mergeCell ref="K33:L33"/>
    <mergeCell ref="H32:L32"/>
    <mergeCell ref="D33:G33"/>
  </mergeCells>
  <dataValidations count="1">
    <dataValidation allowBlank="1" showInputMessage="1" showErrorMessage="1" prompt="High- or low-producing cows that have calved at least once and are used principally for milk production" sqref="C2"/>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I17"/>
  <sheetViews>
    <sheetView showGridLines="0" workbookViewId="0">
      <selection activeCell="C37" sqref="C37"/>
    </sheetView>
  </sheetViews>
  <sheetFormatPr defaultRowHeight="14.4" x14ac:dyDescent="0.3"/>
  <cols>
    <col min="1" max="1" width="16.33203125" customWidth="1"/>
    <col min="2" max="2" width="26.44140625" customWidth="1"/>
    <col min="3" max="3" width="19.44140625" customWidth="1"/>
    <col min="4" max="4" width="19.33203125" customWidth="1"/>
    <col min="5" max="5" width="17.88671875" customWidth="1"/>
    <col min="6" max="6" width="12.88671875" customWidth="1"/>
    <col min="7" max="7" width="29" customWidth="1"/>
    <col min="8" max="8" width="18" customWidth="1"/>
    <col min="9" max="9" width="23.33203125" customWidth="1"/>
  </cols>
  <sheetData>
    <row r="1" spans="1:9" x14ac:dyDescent="0.3">
      <c r="A1" s="99" t="s">
        <v>208</v>
      </c>
      <c r="B1" s="231" t="s">
        <v>209</v>
      </c>
      <c r="C1" s="231" t="s">
        <v>210</v>
      </c>
      <c r="D1" s="231" t="s">
        <v>211</v>
      </c>
      <c r="E1" s="231" t="s">
        <v>212</v>
      </c>
      <c r="F1" s="99" t="s">
        <v>213</v>
      </c>
      <c r="G1" s="102"/>
      <c r="H1" s="101" t="s">
        <v>218</v>
      </c>
      <c r="I1" s="101" t="s">
        <v>219</v>
      </c>
    </row>
    <row r="2" spans="1:9" x14ac:dyDescent="0.3">
      <c r="A2" s="98" t="s">
        <v>214</v>
      </c>
      <c r="B2" s="98" t="s">
        <v>198</v>
      </c>
      <c r="C2" s="98">
        <v>44.2</v>
      </c>
      <c r="D2" s="98">
        <v>64200</v>
      </c>
      <c r="E2" s="98">
        <v>366.3</v>
      </c>
      <c r="F2" s="98" t="s">
        <v>201</v>
      </c>
      <c r="G2" s="102" t="s">
        <v>198</v>
      </c>
      <c r="H2" s="104">
        <f>IF('FOSSIL FUEL'!D12="Liters",'FOSSIL FUEL'!B12*('Fossil Fuel Data'!$E2/1000)*('Fossil Fuel Data'!$C2/1000000)*'Fossil Fuel Data'!$D2,('FOSSIL FUEL'!B12*3.875)*('Fossil Fuel Data'!$E2/1000)*('Fossil Fuel Data'!$C2/1000000)*'Fossil Fuel Data'!$D2)</f>
        <v>0</v>
      </c>
      <c r="I2" s="104">
        <f>IF('FOSSIL FUEL'!E12="Liters",'FOSSIL FUEL'!C12*('Fossil Fuel Data'!$E2/1000)*('Fossil Fuel Data'!$C2/1000000)*'Fossil Fuel Data'!$D2,('FOSSIL FUEL'!C12*3.875)*('Fossil Fuel Data'!$E2/1000)*('Fossil Fuel Data'!$C2/1000000)*'Fossil Fuel Data'!$D2)</f>
        <v>0</v>
      </c>
    </row>
    <row r="3" spans="1:9" x14ac:dyDescent="0.3">
      <c r="A3" s="98" t="s">
        <v>214</v>
      </c>
      <c r="B3" s="98" t="s">
        <v>200</v>
      </c>
      <c r="C3" s="98">
        <v>44.2</v>
      </c>
      <c r="D3" s="98">
        <v>64200</v>
      </c>
      <c r="E3" s="98">
        <v>507.6</v>
      </c>
      <c r="F3" s="98" t="s">
        <v>199</v>
      </c>
      <c r="G3" s="102" t="s">
        <v>200</v>
      </c>
      <c r="H3" s="104">
        <f>IF('FOSSIL FUEL'!D13="Liters",'FOSSIL FUEL'!B13*('Fossil Fuel Data'!$E3/1000)*('Fossil Fuel Data'!$C3/1000000)*'Fossil Fuel Data'!$D3,('FOSSIL FUEL'!B13*3.875)*('Fossil Fuel Data'!$E3/1000)*('Fossil Fuel Data'!$C3/1000000)*'Fossil Fuel Data'!$D3)</f>
        <v>0</v>
      </c>
      <c r="I3" s="104">
        <f>IF('FOSSIL FUEL'!E13="Liters",'FOSSIL FUEL'!C13*('Fossil Fuel Data'!$E3/1000)*('Fossil Fuel Data'!$C3/1000000)*'Fossil Fuel Data'!$D3,('FOSSIL FUEL'!C13*3.875)*('Fossil Fuel Data'!$E3/1000)*('Fossil Fuel Data'!$C3/1000000)*'Fossil Fuel Data'!$D3)</f>
        <v>0</v>
      </c>
    </row>
    <row r="4" spans="1:9" x14ac:dyDescent="0.3">
      <c r="A4" s="98" t="s">
        <v>214</v>
      </c>
      <c r="B4" s="98" t="s">
        <v>202</v>
      </c>
      <c r="C4" s="98">
        <v>44.2</v>
      </c>
      <c r="D4" s="98">
        <v>64200</v>
      </c>
      <c r="E4" s="98">
        <v>572.70000000000005</v>
      </c>
      <c r="F4" s="98"/>
      <c r="G4" s="102" t="s">
        <v>202</v>
      </c>
      <c r="H4" s="104">
        <f>IF('FOSSIL FUEL'!D14="Liters",'FOSSIL FUEL'!B14*('Fossil Fuel Data'!$E4/1000)*('Fossil Fuel Data'!$C4/1000000)*'Fossil Fuel Data'!$D4,('FOSSIL FUEL'!B14*3.875)*('Fossil Fuel Data'!$E4/1000)*('Fossil Fuel Data'!$C4/1000000)*'Fossil Fuel Data'!$D4)</f>
        <v>0</v>
      </c>
      <c r="I4" s="104">
        <f>IF('FOSSIL FUEL'!E14="Liters",'FOSSIL FUEL'!C14*('Fossil Fuel Data'!$E4/1000)*('Fossil Fuel Data'!$C4/1000000)*'Fossil Fuel Data'!$D4,('FOSSIL FUEL'!C14*3.875)*('Fossil Fuel Data'!$E4/1000)*('Fossil Fuel Data'!$C4/1000000)*'Fossil Fuel Data'!$D4)</f>
        <v>0</v>
      </c>
    </row>
    <row r="5" spans="1:9" x14ac:dyDescent="0.3">
      <c r="A5" s="98" t="s">
        <v>214</v>
      </c>
      <c r="B5" s="98" t="s">
        <v>203</v>
      </c>
      <c r="C5" s="98">
        <v>44.2</v>
      </c>
      <c r="D5" s="98">
        <v>64200</v>
      </c>
      <c r="E5" s="98">
        <v>522.20000000000005</v>
      </c>
      <c r="F5" s="98"/>
      <c r="G5" s="102" t="s">
        <v>203</v>
      </c>
      <c r="H5" s="104">
        <f>IF('FOSSIL FUEL'!D15="Liters",'FOSSIL FUEL'!B15*('Fossil Fuel Data'!$E5/1000)*('Fossil Fuel Data'!$C5/1000000)*'Fossil Fuel Data'!$D5,('FOSSIL FUEL'!B15*3.875)*('Fossil Fuel Data'!$E5/1000)*('Fossil Fuel Data'!$C5/1000000)*'Fossil Fuel Data'!$D5)</f>
        <v>0</v>
      </c>
      <c r="I5" s="104">
        <f>IF('FOSSIL FUEL'!E15="Liters",'FOSSIL FUEL'!C15*('Fossil Fuel Data'!$E5/1000)*('Fossil Fuel Data'!$C5/1000000)*'Fossil Fuel Data'!$D5,('FOSSIL FUEL'!C15*3.875)*('Fossil Fuel Data'!$E5/1000)*('Fossil Fuel Data'!$C5/1000000)*'Fossil Fuel Data'!$D5)</f>
        <v>0</v>
      </c>
    </row>
    <row r="6" spans="1:9" x14ac:dyDescent="0.3">
      <c r="A6" s="98" t="s">
        <v>214</v>
      </c>
      <c r="B6" s="98" t="s">
        <v>175</v>
      </c>
      <c r="C6" s="98">
        <v>44.3</v>
      </c>
      <c r="D6" s="98">
        <v>69300</v>
      </c>
      <c r="E6" s="98">
        <v>740.7</v>
      </c>
      <c r="F6" s="98"/>
      <c r="G6" s="102" t="s">
        <v>175</v>
      </c>
      <c r="H6" s="104">
        <f>IF('FOSSIL FUEL'!D16="Liters",'FOSSIL FUEL'!B16*('Fossil Fuel Data'!$E6/1000)*('Fossil Fuel Data'!$C6/1000000)*'Fossil Fuel Data'!$D6,('FOSSIL FUEL'!B16*3.875)*('Fossil Fuel Data'!$E6/1000)*('Fossil Fuel Data'!$C6/1000000)*'Fossil Fuel Data'!$D6)</f>
        <v>176230.47345749999</v>
      </c>
      <c r="I6" s="104">
        <f>IF('FOSSIL FUEL'!E16="Liters",'FOSSIL FUEL'!C16*('Fossil Fuel Data'!$E6/1000)*('Fossil Fuel Data'!$C6/1000000)*'Fossil Fuel Data'!$D6,('FOSSIL FUEL'!C16*3.875)*('Fossil Fuel Data'!$E6/1000)*('Fossil Fuel Data'!$C6/1000000)*'Fossil Fuel Data'!$D6)</f>
        <v>44057.618364374997</v>
      </c>
    </row>
    <row r="7" spans="1:9" x14ac:dyDescent="0.3">
      <c r="A7" s="98" t="s">
        <v>214</v>
      </c>
      <c r="B7" s="98" t="s">
        <v>204</v>
      </c>
      <c r="C7" s="98">
        <v>44.3</v>
      </c>
      <c r="D7" s="98">
        <v>70000</v>
      </c>
      <c r="E7" s="98">
        <v>716.8</v>
      </c>
      <c r="F7" s="98"/>
      <c r="G7" s="102" t="s">
        <v>204</v>
      </c>
      <c r="H7" s="104">
        <f>IF('FOSSIL FUEL'!D17="Liters",'FOSSIL FUEL'!B17*('Fossil Fuel Data'!$E7/1000)*('Fossil Fuel Data'!$C7/1000000)*'Fossil Fuel Data'!$D7,('FOSSIL FUEL'!B17*3.875)*('Fossil Fuel Data'!$E7/1000)*('Fossil Fuel Data'!$C7/1000000)*'Fossil Fuel Data'!$D7)</f>
        <v>0</v>
      </c>
      <c r="I7" s="104">
        <f>IF('FOSSIL FUEL'!E17="Liters",'FOSSIL FUEL'!C17*('Fossil Fuel Data'!$E7/1000)*('Fossil Fuel Data'!$C7/1000000)*'Fossil Fuel Data'!$D7,('FOSSIL FUEL'!C17*3.875)*('Fossil Fuel Data'!$E7/1000)*('Fossil Fuel Data'!$C7/1000000)*'Fossil Fuel Data'!$D7)</f>
        <v>0</v>
      </c>
    </row>
    <row r="8" spans="1:9" x14ac:dyDescent="0.3">
      <c r="A8" s="98" t="s">
        <v>214</v>
      </c>
      <c r="B8" s="98" t="s">
        <v>176</v>
      </c>
      <c r="C8" s="98">
        <v>43.8</v>
      </c>
      <c r="D8" s="98">
        <v>71900</v>
      </c>
      <c r="E8" s="98">
        <v>802.6</v>
      </c>
      <c r="F8" s="98"/>
      <c r="G8" s="102" t="s">
        <v>176</v>
      </c>
      <c r="H8" s="104">
        <f>IF('FOSSIL FUEL'!D18="Liters",'FOSSIL FUEL'!B18*('Fossil Fuel Data'!$E8/1000)*('Fossil Fuel Data'!$C8/1000000)*'Fossil Fuel Data'!$D8,('FOSSIL FUEL'!B18*3.875)*('Fossil Fuel Data'!$E8/1000)*('Fossil Fuel Data'!$C8/1000000)*'Fossil Fuel Data'!$D8)</f>
        <v>0</v>
      </c>
      <c r="I8" s="104">
        <f>IF('FOSSIL FUEL'!E18="Liters",'FOSSIL FUEL'!C18*('Fossil Fuel Data'!$E8/1000)*('Fossil Fuel Data'!$C8/1000000)*'Fossil Fuel Data'!$D8,('FOSSIL FUEL'!C18*3.875)*('Fossil Fuel Data'!$E8/1000)*('Fossil Fuel Data'!$C8/1000000)*'Fossil Fuel Data'!$D8)</f>
        <v>0</v>
      </c>
    </row>
    <row r="9" spans="1:9" x14ac:dyDescent="0.3">
      <c r="A9" s="98" t="s">
        <v>214</v>
      </c>
      <c r="B9" s="98" t="s">
        <v>174</v>
      </c>
      <c r="C9" s="98">
        <v>43</v>
      </c>
      <c r="D9" s="98">
        <v>74100</v>
      </c>
      <c r="E9" s="98">
        <v>843.9</v>
      </c>
      <c r="F9" s="98"/>
      <c r="G9" s="102" t="s">
        <v>174</v>
      </c>
      <c r="H9" s="104">
        <f>IF('FOSSIL FUEL'!D19="Liters",'FOSSIL FUEL'!B19*('Fossil Fuel Data'!$E9/1000)*('Fossil Fuel Data'!$C9/1000000)*'Fossil Fuel Data'!$D9,('FOSSIL FUEL'!B19*3.875)*('Fossil Fuel Data'!$E9/1000)*('Fossil Fuel Data'!$C9/1000000)*'Fossil Fuel Data'!$D9)</f>
        <v>104195.5945875</v>
      </c>
      <c r="I9" s="104">
        <f>IF('FOSSIL FUEL'!E19="Liters",'FOSSIL FUEL'!C19*('Fossil Fuel Data'!$E9/1000)*('Fossil Fuel Data'!$C9/1000000)*'Fossil Fuel Data'!$D9,('FOSSIL FUEL'!C19*3.875)*('Fossil Fuel Data'!$E9/1000)*('Fossil Fuel Data'!$C9/1000000)*'Fossil Fuel Data'!$D9)</f>
        <v>83356.47567</v>
      </c>
    </row>
    <row r="10" spans="1:9" x14ac:dyDescent="0.3">
      <c r="A10" s="98" t="s">
        <v>172</v>
      </c>
      <c r="B10" s="98" t="s">
        <v>215</v>
      </c>
      <c r="C10" s="98">
        <v>29.5</v>
      </c>
      <c r="D10" s="98">
        <v>112000</v>
      </c>
      <c r="E10" s="98"/>
      <c r="F10" s="98"/>
      <c r="G10" s="102" t="s">
        <v>205</v>
      </c>
      <c r="H10" s="104">
        <f>IF('FOSSIL FUEL'!D20="Liters",'FOSSIL FUEL'!B20*('Fossil Fuel Data'!$E10/1000)*('Fossil Fuel Data'!$C10/1000000)*'Fossil Fuel Data'!$D10,('FOSSIL FUEL'!B20*3.875)*('Fossil Fuel Data'!$E10/1000)*('Fossil Fuel Data'!$C10/1000000)*'Fossil Fuel Data'!$D10)</f>
        <v>0</v>
      </c>
      <c r="I10" s="104">
        <f>IF('FOSSIL FUEL'!E20="Liters",'FOSSIL FUEL'!C20*('Fossil Fuel Data'!$E10/1000)*('Fossil Fuel Data'!$C10/1000000)*'Fossil Fuel Data'!$D10,('FOSSIL FUEL'!C20*3.875)*('Fossil Fuel Data'!$E10/1000)*('Fossil Fuel Data'!$C10/1000000)*'Fossil Fuel Data'!$D10)</f>
        <v>0</v>
      </c>
    </row>
    <row r="11" spans="1:9" x14ac:dyDescent="0.3">
      <c r="A11" s="98" t="s">
        <v>172</v>
      </c>
      <c r="B11" s="98" t="s">
        <v>205</v>
      </c>
      <c r="C11" s="98">
        <v>27</v>
      </c>
      <c r="D11" s="98">
        <v>70800</v>
      </c>
      <c r="E11" s="98"/>
      <c r="F11" s="98"/>
      <c r="G11" s="102" t="s">
        <v>206</v>
      </c>
      <c r="H11" s="104">
        <f>IF('FOSSIL FUEL'!D21="Liters",'FOSSIL FUEL'!B21*('Fossil Fuel Data'!$E11/1000)*('Fossil Fuel Data'!$C11/1000000)*'Fossil Fuel Data'!$D11,('FOSSIL FUEL'!B21*3.875)*('Fossil Fuel Data'!$E11/1000)*('Fossil Fuel Data'!$C11/1000000)*'Fossil Fuel Data'!$D11)</f>
        <v>0</v>
      </c>
      <c r="I11" s="104">
        <f>IF('FOSSIL FUEL'!E21="Liters",'FOSSIL FUEL'!C21*('Fossil Fuel Data'!$E11/1000)*('Fossil Fuel Data'!$C11/1000000)*'Fossil Fuel Data'!$D11,('FOSSIL FUEL'!C21*3.875)*('Fossil Fuel Data'!$E11/1000)*('Fossil Fuel Data'!$C11/1000000)*'Fossil Fuel Data'!$D11)</f>
        <v>0</v>
      </c>
    </row>
    <row r="12" spans="1:9" x14ac:dyDescent="0.3">
      <c r="A12" s="98" t="s">
        <v>172</v>
      </c>
      <c r="B12" s="98" t="s">
        <v>206</v>
      </c>
      <c r="C12" s="98">
        <v>27</v>
      </c>
      <c r="D12" s="98">
        <v>70800</v>
      </c>
      <c r="E12" s="98"/>
      <c r="F12" s="98"/>
      <c r="G12" s="102" t="s">
        <v>207</v>
      </c>
      <c r="H12" s="104">
        <f>IF('FOSSIL FUEL'!D22="Liters",'FOSSIL FUEL'!B22*('Fossil Fuel Data'!$E12/1000)*('Fossil Fuel Data'!$C12/1000000)*'Fossil Fuel Data'!$D12,('FOSSIL FUEL'!B22*3.875)*('Fossil Fuel Data'!$E12/1000)*('Fossil Fuel Data'!$C12/1000000)*'Fossil Fuel Data'!$D12)</f>
        <v>0</v>
      </c>
      <c r="I12" s="104">
        <f>IF('FOSSIL FUEL'!E22="Liters",'FOSSIL FUEL'!C22*('Fossil Fuel Data'!$E12/1000)*('Fossil Fuel Data'!$C12/1000000)*'Fossil Fuel Data'!$D12,('FOSSIL FUEL'!C22*3.875)*('Fossil Fuel Data'!$E12/1000)*('Fossil Fuel Data'!$C12/1000000)*'Fossil Fuel Data'!$D12)</f>
        <v>0</v>
      </c>
    </row>
    <row r="13" spans="1:9" x14ac:dyDescent="0.3">
      <c r="A13" s="98" t="s">
        <v>172</v>
      </c>
      <c r="B13" s="98" t="s">
        <v>207</v>
      </c>
      <c r="C13" s="98">
        <v>27.4</v>
      </c>
      <c r="D13" s="98">
        <v>79600</v>
      </c>
      <c r="E13" s="98"/>
      <c r="F13" s="98"/>
      <c r="G13" s="102"/>
      <c r="H13" s="102"/>
      <c r="I13" s="102"/>
    </row>
    <row r="14" spans="1:9" x14ac:dyDescent="0.3">
      <c r="A14" s="98" t="s">
        <v>172</v>
      </c>
      <c r="B14" s="98" t="s">
        <v>216</v>
      </c>
      <c r="C14" s="98">
        <v>50.4</v>
      </c>
      <c r="D14" s="98">
        <v>54600</v>
      </c>
      <c r="E14" s="98"/>
      <c r="F14" s="98"/>
      <c r="G14" s="101"/>
      <c r="H14" s="105"/>
      <c r="I14" s="105"/>
    </row>
    <row r="15" spans="1:9" x14ac:dyDescent="0.3">
      <c r="A15" s="98" t="s">
        <v>214</v>
      </c>
      <c r="B15" s="232" t="s">
        <v>217</v>
      </c>
      <c r="C15" s="232">
        <v>40.200000000000003</v>
      </c>
      <c r="D15" s="232">
        <v>73300</v>
      </c>
      <c r="E15" s="232"/>
      <c r="F15" s="98"/>
    </row>
    <row r="17" spans="7:9" x14ac:dyDescent="0.3">
      <c r="G17" s="100" t="s">
        <v>919</v>
      </c>
      <c r="H17" s="103">
        <f>SUM(H2:H14)</f>
        <v>280426.06804499996</v>
      </c>
      <c r="I17" s="103">
        <f>SUM(I2:I14)</f>
        <v>127414.094034375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4"/>
  <sheetViews>
    <sheetView workbookViewId="0">
      <selection activeCell="H20" sqref="H20"/>
    </sheetView>
  </sheetViews>
  <sheetFormatPr defaultColWidth="9.109375" defaultRowHeight="14.4" x14ac:dyDescent="0.3"/>
  <cols>
    <col min="1" max="16384" width="9.109375" style="54"/>
  </cols>
  <sheetData>
    <row r="1" spans="1:16" ht="15.6" x14ac:dyDescent="0.3">
      <c r="A1" s="230" t="s">
        <v>4</v>
      </c>
    </row>
    <row r="5" spans="1:16" ht="15.6" x14ac:dyDescent="0.3">
      <c r="A5" s="47" t="s">
        <v>11</v>
      </c>
      <c r="B5" s="48"/>
      <c r="C5" s="48"/>
      <c r="D5" s="48"/>
      <c r="E5" s="48"/>
      <c r="F5" s="48"/>
      <c r="G5" s="48"/>
      <c r="H5" s="48"/>
      <c r="I5" s="48"/>
      <c r="J5" s="48"/>
      <c r="K5" s="48"/>
      <c r="L5" s="48"/>
      <c r="M5" s="48"/>
      <c r="N5" s="48"/>
      <c r="O5" s="48"/>
      <c r="P5" s="48"/>
    </row>
    <row r="6" spans="1:16" ht="18" x14ac:dyDescent="0.3">
      <c r="A6" s="49" t="s">
        <v>728</v>
      </c>
      <c r="B6" s="48"/>
      <c r="C6" s="48"/>
      <c r="D6" s="48"/>
      <c r="E6" s="48"/>
      <c r="F6" s="48"/>
      <c r="G6" s="48"/>
      <c r="H6" s="48"/>
      <c r="I6" s="48"/>
      <c r="J6" s="48"/>
      <c r="K6" s="48"/>
      <c r="L6" s="48"/>
      <c r="M6" s="48"/>
      <c r="N6" s="48"/>
      <c r="O6" s="48"/>
      <c r="P6" s="48"/>
    </row>
    <row r="7" spans="1:16" ht="15.6" x14ac:dyDescent="0.3">
      <c r="A7" s="49" t="s">
        <v>762</v>
      </c>
      <c r="B7" s="48"/>
      <c r="C7" s="48"/>
      <c r="D7" s="48"/>
      <c r="E7" s="48"/>
      <c r="F7" s="48"/>
      <c r="G7" s="48"/>
      <c r="H7" s="48"/>
      <c r="I7" s="48"/>
      <c r="J7" s="48"/>
      <c r="K7" s="48"/>
      <c r="L7" s="48"/>
      <c r="M7" s="48"/>
      <c r="N7" s="48"/>
      <c r="O7" s="48"/>
      <c r="P7" s="48"/>
    </row>
    <row r="8" spans="1:16" ht="15.6" x14ac:dyDescent="0.3">
      <c r="A8" s="53"/>
    </row>
    <row r="9" spans="1:16" ht="15.6" x14ac:dyDescent="0.3">
      <c r="A9" s="50" t="s">
        <v>12</v>
      </c>
      <c r="B9" s="51"/>
      <c r="C9" s="51"/>
      <c r="D9" s="51"/>
      <c r="E9" s="51"/>
      <c r="F9" s="51"/>
      <c r="G9" s="51"/>
      <c r="H9" s="51"/>
      <c r="I9" s="51"/>
      <c r="J9" s="51"/>
      <c r="K9" s="51"/>
      <c r="L9" s="51"/>
      <c r="M9" s="51"/>
      <c r="N9" s="51"/>
      <c r="O9" s="51"/>
      <c r="P9" s="51"/>
    </row>
    <row r="10" spans="1:16" ht="15.6" x14ac:dyDescent="0.3">
      <c r="A10" s="52" t="s">
        <v>13</v>
      </c>
      <c r="B10" s="51"/>
      <c r="C10" s="51"/>
      <c r="D10" s="51"/>
      <c r="E10" s="51"/>
      <c r="F10" s="51"/>
      <c r="G10" s="51"/>
      <c r="H10" s="51"/>
      <c r="I10" s="51"/>
      <c r="J10" s="51"/>
      <c r="K10" s="51"/>
      <c r="L10" s="51"/>
      <c r="M10" s="51"/>
      <c r="N10" s="51"/>
      <c r="O10" s="51"/>
      <c r="P10" s="51"/>
    </row>
    <row r="11" spans="1:16" ht="18" x14ac:dyDescent="0.3">
      <c r="A11" s="52" t="s">
        <v>797</v>
      </c>
      <c r="B11" s="51"/>
      <c r="C11" s="51"/>
      <c r="D11" s="51"/>
      <c r="E11" s="51"/>
      <c r="F11" s="51"/>
      <c r="G11" s="51"/>
      <c r="H11" s="51"/>
      <c r="I11" s="51"/>
      <c r="J11" s="51"/>
      <c r="K11" s="51"/>
      <c r="L11" s="51"/>
      <c r="M11" s="51"/>
      <c r="N11" s="51"/>
      <c r="O11" s="51"/>
      <c r="P11" s="51"/>
    </row>
    <row r="13" spans="1:16" ht="15.6" x14ac:dyDescent="0.3">
      <c r="A13" s="233" t="s">
        <v>1149</v>
      </c>
      <c r="B13" s="234"/>
      <c r="C13" s="227"/>
      <c r="D13" s="227"/>
      <c r="E13" s="227"/>
      <c r="F13" s="227"/>
      <c r="G13" s="227"/>
      <c r="H13" s="227"/>
      <c r="I13" s="227"/>
      <c r="J13" s="227"/>
      <c r="K13" s="227"/>
      <c r="L13" s="227"/>
      <c r="M13" s="227"/>
      <c r="N13" s="227"/>
      <c r="O13" s="227"/>
      <c r="P13" s="227"/>
    </row>
    <row r="14" spans="1:16" ht="15.6" x14ac:dyDescent="0.3">
      <c r="A14" s="225" t="s">
        <v>918</v>
      </c>
      <c r="B14" s="226"/>
      <c r="C14" s="227"/>
      <c r="D14" s="227"/>
      <c r="E14" s="227"/>
      <c r="F14" s="227"/>
      <c r="G14" s="227"/>
      <c r="H14" s="227"/>
      <c r="I14" s="227"/>
      <c r="J14" s="227"/>
      <c r="K14" s="227"/>
      <c r="L14" s="227"/>
      <c r="M14" s="227"/>
      <c r="N14" s="227"/>
      <c r="O14" s="227"/>
      <c r="P14" s="227"/>
    </row>
    <row r="15" spans="1:16" ht="15.6" x14ac:dyDescent="0.3">
      <c r="A15" s="226" t="s">
        <v>909</v>
      </c>
      <c r="B15" s="226"/>
      <c r="C15" s="227"/>
      <c r="D15" s="227"/>
      <c r="E15" s="227"/>
      <c r="F15" s="227"/>
      <c r="G15" s="227"/>
      <c r="H15" s="227"/>
      <c r="I15" s="227"/>
      <c r="J15" s="227"/>
      <c r="K15" s="227"/>
      <c r="L15" s="227"/>
      <c r="M15" s="227"/>
      <c r="N15" s="227"/>
      <c r="O15" s="227"/>
      <c r="P15" s="227"/>
    </row>
    <row r="16" spans="1:16" ht="15.6" x14ac:dyDescent="0.3">
      <c r="A16" s="226" t="s">
        <v>912</v>
      </c>
      <c r="B16" s="226"/>
      <c r="C16" s="227"/>
      <c r="D16" s="227"/>
      <c r="E16" s="227"/>
      <c r="F16" s="227"/>
      <c r="G16" s="227"/>
      <c r="H16" s="227"/>
      <c r="I16" s="227"/>
      <c r="J16" s="227"/>
      <c r="K16" s="227"/>
      <c r="L16" s="227"/>
      <c r="M16" s="227"/>
      <c r="N16" s="227"/>
      <c r="O16" s="227"/>
      <c r="P16" s="227"/>
    </row>
    <row r="17" spans="1:16" ht="15.6" x14ac:dyDescent="0.3">
      <c r="A17" s="226" t="s">
        <v>913</v>
      </c>
      <c r="B17" s="226"/>
      <c r="C17" s="227"/>
      <c r="D17" s="227"/>
      <c r="E17" s="227"/>
      <c r="F17" s="227"/>
      <c r="G17" s="227"/>
      <c r="H17" s="227"/>
      <c r="I17" s="227"/>
      <c r="J17" s="227"/>
      <c r="K17" s="227"/>
      <c r="L17" s="227"/>
      <c r="M17" s="227"/>
      <c r="N17" s="227"/>
      <c r="O17" s="227"/>
      <c r="P17" s="227"/>
    </row>
    <row r="18" spans="1:16" ht="15.6" x14ac:dyDescent="0.3">
      <c r="A18" s="226" t="s">
        <v>914</v>
      </c>
      <c r="B18" s="226"/>
      <c r="C18" s="227"/>
      <c r="D18" s="227"/>
      <c r="E18" s="227"/>
      <c r="F18" s="227"/>
      <c r="G18" s="227"/>
      <c r="H18" s="227"/>
      <c r="I18" s="227"/>
      <c r="J18" s="227"/>
      <c r="K18" s="227"/>
      <c r="L18" s="227"/>
      <c r="M18" s="227"/>
      <c r="N18" s="227"/>
      <c r="O18" s="227"/>
      <c r="P18" s="227"/>
    </row>
    <row r="19" spans="1:16" ht="15.6" x14ac:dyDescent="0.3">
      <c r="A19" s="226" t="s">
        <v>915</v>
      </c>
      <c r="B19" s="226"/>
      <c r="C19" s="227"/>
      <c r="D19" s="227"/>
      <c r="E19" s="227"/>
      <c r="F19" s="227"/>
      <c r="G19" s="227"/>
      <c r="H19" s="227"/>
      <c r="I19" s="227"/>
      <c r="J19" s="227"/>
      <c r="K19" s="227"/>
      <c r="L19" s="227"/>
      <c r="M19" s="227"/>
      <c r="N19" s="227"/>
      <c r="O19" s="227"/>
      <c r="P19" s="227"/>
    </row>
    <row r="20" spans="1:16" ht="15.6" x14ac:dyDescent="0.3">
      <c r="A20" s="226" t="s">
        <v>916</v>
      </c>
      <c r="B20" s="226"/>
      <c r="C20" s="227"/>
      <c r="D20" s="227"/>
      <c r="E20" s="227"/>
      <c r="F20" s="227"/>
      <c r="G20" s="227"/>
      <c r="H20" s="227"/>
      <c r="I20" s="227"/>
      <c r="J20" s="227"/>
      <c r="K20" s="227"/>
      <c r="L20" s="227"/>
      <c r="M20" s="227"/>
      <c r="N20" s="227"/>
      <c r="O20" s="227"/>
      <c r="P20" s="227"/>
    </row>
    <row r="21" spans="1:16" ht="15.6" x14ac:dyDescent="0.3">
      <c r="A21" s="226" t="s">
        <v>910</v>
      </c>
      <c r="B21" s="227"/>
      <c r="C21" s="227"/>
      <c r="D21" s="227"/>
      <c r="E21" s="227"/>
      <c r="F21" s="227"/>
      <c r="G21" s="227"/>
      <c r="H21" s="227"/>
      <c r="I21" s="227"/>
      <c r="J21" s="227"/>
      <c r="K21" s="227"/>
      <c r="L21" s="227"/>
      <c r="M21" s="227"/>
      <c r="N21" s="227"/>
      <c r="O21" s="227"/>
      <c r="P21" s="227"/>
    </row>
    <row r="22" spans="1:16" ht="15.6" x14ac:dyDescent="0.3">
      <c r="A22" s="226" t="s">
        <v>911</v>
      </c>
      <c r="B22" s="227"/>
      <c r="C22" s="227"/>
      <c r="D22" s="227"/>
      <c r="E22" s="227"/>
      <c r="F22" s="227"/>
      <c r="G22" s="227"/>
      <c r="H22" s="227"/>
      <c r="I22" s="227"/>
      <c r="J22" s="227"/>
      <c r="K22" s="227"/>
      <c r="L22" s="227"/>
      <c r="M22" s="227"/>
      <c r="N22" s="227"/>
      <c r="O22" s="227"/>
      <c r="P22" s="227"/>
    </row>
    <row r="23" spans="1:16" x14ac:dyDescent="0.3">
      <c r="A23" s="227"/>
      <c r="B23" s="227"/>
      <c r="C23" s="227"/>
      <c r="D23" s="227"/>
      <c r="E23" s="227"/>
      <c r="F23" s="227"/>
      <c r="G23" s="227"/>
      <c r="H23" s="227"/>
      <c r="I23" s="227"/>
      <c r="J23" s="227"/>
      <c r="K23" s="227"/>
      <c r="L23" s="227"/>
      <c r="M23" s="227"/>
      <c r="N23" s="227"/>
      <c r="O23" s="227"/>
      <c r="P23" s="227"/>
    </row>
    <row r="24" spans="1:16" ht="15.6" x14ac:dyDescent="0.3">
      <c r="A24" s="225" t="s">
        <v>917</v>
      </c>
      <c r="B24" s="227"/>
      <c r="C24" s="227"/>
      <c r="D24" s="227"/>
      <c r="E24" s="227"/>
      <c r="F24" s="227"/>
      <c r="G24" s="227"/>
      <c r="H24" s="227"/>
      <c r="I24" s="227"/>
      <c r="J24" s="227"/>
      <c r="K24" s="227"/>
      <c r="L24" s="227"/>
      <c r="M24" s="227"/>
      <c r="N24" s="227"/>
      <c r="O24" s="227"/>
      <c r="P24" s="22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7"/>
  <sheetViews>
    <sheetView showGridLines="0" workbookViewId="0">
      <selection activeCell="H13" sqref="H13:I13"/>
    </sheetView>
  </sheetViews>
  <sheetFormatPr defaultRowHeight="14.4" x14ac:dyDescent="0.3"/>
  <cols>
    <col min="5" max="5" width="9.109375" customWidth="1"/>
    <col min="6" max="6" width="9" customWidth="1"/>
    <col min="7" max="7" width="9.109375" hidden="1" customWidth="1"/>
    <col min="8" max="8" width="16.109375" customWidth="1"/>
    <col min="9" max="9" width="17.44140625" customWidth="1"/>
    <col min="10" max="10" width="17" customWidth="1"/>
    <col min="11" max="11" width="19" customWidth="1"/>
    <col min="14" max="14" width="13.88671875" hidden="1" customWidth="1"/>
    <col min="15" max="15" width="13.6640625" hidden="1" customWidth="1"/>
    <col min="16" max="16" width="12.44140625" hidden="1" customWidth="1"/>
    <col min="20" max="20" width="0" hidden="1" customWidth="1"/>
  </cols>
  <sheetData>
    <row r="1" spans="1:20" x14ac:dyDescent="0.3">
      <c r="A1" s="179" t="s">
        <v>729</v>
      </c>
    </row>
    <row r="6" spans="1:20" s="98" customFormat="1" x14ac:dyDescent="0.3">
      <c r="A6" s="96" t="s">
        <v>753</v>
      </c>
      <c r="T6" s="98" t="s">
        <v>734</v>
      </c>
    </row>
    <row r="7" spans="1:20" x14ac:dyDescent="0.3">
      <c r="T7" t="s">
        <v>735</v>
      </c>
    </row>
    <row r="8" spans="1:20" x14ac:dyDescent="0.3">
      <c r="A8" t="s">
        <v>730</v>
      </c>
      <c r="H8" s="182" t="s">
        <v>734</v>
      </c>
    </row>
    <row r="10" spans="1:20" s="98" customFormat="1" ht="15" thickBot="1" x14ac:dyDescent="0.35">
      <c r="A10" s="100" t="s">
        <v>736</v>
      </c>
    </row>
    <row r="11" spans="1:20" s="98" customFormat="1" ht="80.25" customHeight="1" x14ac:dyDescent="0.35">
      <c r="A11" s="271" t="s">
        <v>751</v>
      </c>
      <c r="B11" s="272"/>
      <c r="C11" s="272"/>
      <c r="D11" s="272"/>
      <c r="E11" s="272"/>
      <c r="F11" s="272"/>
      <c r="G11" s="249"/>
      <c r="H11" s="269" t="s">
        <v>752</v>
      </c>
      <c r="I11" s="270"/>
      <c r="J11" s="250" t="s">
        <v>1151</v>
      </c>
      <c r="K11" s="251" t="s">
        <v>1150</v>
      </c>
      <c r="L11" s="64"/>
      <c r="M11" s="64"/>
      <c r="N11" s="64" t="s">
        <v>905</v>
      </c>
      <c r="O11" s="64" t="s">
        <v>906</v>
      </c>
      <c r="P11" s="64" t="s">
        <v>907</v>
      </c>
    </row>
    <row r="12" spans="1:20" x14ac:dyDescent="0.3">
      <c r="A12" s="261" t="s">
        <v>798</v>
      </c>
      <c r="B12" s="262"/>
      <c r="C12" s="262"/>
      <c r="D12" s="262"/>
      <c r="E12" s="262"/>
      <c r="F12" s="262"/>
      <c r="G12" s="252"/>
      <c r="H12" s="265" t="str">
        <f>IF($H$8="yes",IF(N12="yes","A-MICROSCALE",IF(O12="yes","A-SMALLSCALE",IF(P12="yes","A-BIOTIC"))),IF($H$8="no",IF(N12="yes","A-MICROSCALE","A-BIOTIC")))</f>
        <v>A-SMALLSCALE</v>
      </c>
      <c r="I12" s="265"/>
      <c r="J12" s="246">
        <f>BIOTIC!B7</f>
        <v>33229.350000000006</v>
      </c>
      <c r="K12" s="244">
        <f>IF(J12&lt;0,J12,J12*0.8*0.8)</f>
        <v>21266.784000000007</v>
      </c>
      <c r="L12" s="64"/>
      <c r="M12" s="64"/>
      <c r="N12" s="64" t="str">
        <f>IF(AND(K12&lt;5000,K12&gt;-5000),"YES","NO")</f>
        <v>NO</v>
      </c>
      <c r="O12" t="str">
        <f>IF(AND(K12&gt;5000,K12&lt;60000),"YES",IF(AND(K12&lt;-5000,K12&gt;-60000),"YES","NO"))</f>
        <v>YES</v>
      </c>
      <c r="P12" t="str">
        <f>IF(OR(K12&gt;60000,K12&lt;-60000),"YES","NO")</f>
        <v>NO</v>
      </c>
    </row>
    <row r="13" spans="1:20" x14ac:dyDescent="0.3">
      <c r="A13" s="261" t="s">
        <v>750</v>
      </c>
      <c r="B13" s="262"/>
      <c r="C13" s="262"/>
      <c r="D13" s="262"/>
      <c r="E13" s="262"/>
      <c r="F13" s="262"/>
      <c r="G13" s="252"/>
      <c r="H13" s="266" t="str">
        <f>IF(ENTERIC!$C$7&lt;5000,"A-MICROSCALE","A-ENTERIC")</f>
        <v>A-MICROSCALE</v>
      </c>
      <c r="I13" s="267"/>
      <c r="J13" s="246">
        <f>ENTERIC!C7</f>
        <v>0</v>
      </c>
      <c r="K13" s="244">
        <f>IF(J13&lt;0,J13,J13*0.8)</f>
        <v>0</v>
      </c>
      <c r="L13" s="64"/>
      <c r="M13" s="64"/>
      <c r="N13" s="64" t="str">
        <f t="shared" ref="N13:N16" si="0">IF(AND(K13&lt;5000,K13&gt;-5000),"YES","NO")</f>
        <v>YES</v>
      </c>
      <c r="O13" s="98" t="str">
        <f t="shared" ref="O13:O16" si="1">IF(AND(K13&gt;5000,K13&lt;60000),"YES",IF(AND(K13&lt;-5000,K13&gt;-60000),"YES","NO"))</f>
        <v>NO</v>
      </c>
      <c r="P13" s="98" t="str">
        <f t="shared" ref="P13:P16" si="2">IF(OR(K13&gt;60000,K13&lt;-60000),"YES","NO")</f>
        <v>NO</v>
      </c>
    </row>
    <row r="14" spans="1:20" x14ac:dyDescent="0.3">
      <c r="A14" s="261" t="s">
        <v>731</v>
      </c>
      <c r="B14" s="262"/>
      <c r="C14" s="262"/>
      <c r="D14" s="262"/>
      <c r="E14" s="262"/>
      <c r="F14" s="262"/>
      <c r="G14" s="252"/>
      <c r="H14" s="265" t="str">
        <f>IF(MANURE!B7&lt;5000,"A-MICROSCALE","A-MANURE")</f>
        <v>A-MICROSCALE</v>
      </c>
      <c r="I14" s="265"/>
      <c r="J14" s="246">
        <f>MANURE!B7</f>
        <v>402.06927849429348</v>
      </c>
      <c r="K14" s="244">
        <f>IF(J14&lt;0,J14,J14*0.8)</f>
        <v>321.65542279543479</v>
      </c>
      <c r="L14" s="64"/>
      <c r="M14" s="64"/>
      <c r="N14" s="64" t="str">
        <f t="shared" si="0"/>
        <v>YES</v>
      </c>
      <c r="O14" s="98" t="str">
        <f t="shared" si="1"/>
        <v>NO</v>
      </c>
      <c r="P14" s="98" t="str">
        <f t="shared" si="2"/>
        <v>NO</v>
      </c>
    </row>
    <row r="15" spans="1:20" x14ac:dyDescent="0.3">
      <c r="A15" s="261" t="s">
        <v>732</v>
      </c>
      <c r="B15" s="262"/>
      <c r="C15" s="262"/>
      <c r="D15" s="262"/>
      <c r="E15" s="262"/>
      <c r="F15" s="262"/>
      <c r="G15" s="252"/>
      <c r="H15" s="265" t="str">
        <f>IF($H$8="yes",IF(N15="yes","A-MICROSCALE",IF(O15="yes","A-SMALLSCALE",IF(P15="yes","A-BIOTIC"))),IF($H$8="no",IF(N15="yes","A-MICROSCALE","A-BIOTIC")))</f>
        <v>A-MICROSCALE</v>
      </c>
      <c r="I15" s="265"/>
      <c r="J15" s="246">
        <f>FERTILIZER!B7</f>
        <v>-193.37017200040202</v>
      </c>
      <c r="K15" s="244">
        <f>IF(J15&lt;0,J15,J15*0.8)</f>
        <v>-193.37017200040202</v>
      </c>
      <c r="L15" s="64"/>
      <c r="M15" s="64"/>
      <c r="N15" s="64" t="str">
        <f t="shared" si="0"/>
        <v>YES</v>
      </c>
      <c r="O15" s="98" t="str">
        <f t="shared" si="1"/>
        <v>NO</v>
      </c>
      <c r="P15" s="98" t="str">
        <f t="shared" si="2"/>
        <v>NO</v>
      </c>
    </row>
    <row r="16" spans="1:20" ht="15" thickBot="1" x14ac:dyDescent="0.35">
      <c r="A16" s="263" t="s">
        <v>733</v>
      </c>
      <c r="B16" s="264"/>
      <c r="C16" s="264"/>
      <c r="D16" s="264"/>
      <c r="E16" s="264"/>
      <c r="F16" s="264"/>
      <c r="G16" s="253"/>
      <c r="H16" s="268" t="str">
        <f>IF(H8="yes","A-SMALLSCALE or A-MICROSCALE","A-MICROSCALE")</f>
        <v>A-SMALLSCALE or A-MICROSCALE</v>
      </c>
      <c r="I16" s="268"/>
      <c r="J16" s="247">
        <f>'FOSSIL FUEL'!B8</f>
        <v>153.01197401062498</v>
      </c>
      <c r="K16" s="245">
        <f>IF(J16&lt;0,J16,J16*0.8)</f>
        <v>122.40957920849999</v>
      </c>
      <c r="L16" s="64"/>
      <c r="M16" s="64"/>
      <c r="N16" s="64" t="str">
        <f t="shared" si="0"/>
        <v>YES</v>
      </c>
      <c r="O16" s="98" t="str">
        <f t="shared" si="1"/>
        <v>NO</v>
      </c>
      <c r="P16" s="98" t="str">
        <f t="shared" si="2"/>
        <v>NO</v>
      </c>
    </row>
    <row r="17" spans="1:11" x14ac:dyDescent="0.3">
      <c r="A17" s="254" t="s">
        <v>904</v>
      </c>
      <c r="B17" s="255"/>
      <c r="C17" s="255"/>
      <c r="D17" s="255"/>
      <c r="E17" s="255"/>
      <c r="F17" s="255"/>
      <c r="G17" s="255"/>
      <c r="H17" s="255"/>
      <c r="I17" s="255"/>
      <c r="J17" s="248">
        <f>SUM(J12:J16)</f>
        <v>33591.061080504522</v>
      </c>
      <c r="K17" s="248">
        <f>SUM(K12:K16)</f>
        <v>21517.478830003536</v>
      </c>
    </row>
  </sheetData>
  <sheetProtection password="CDB6" sheet="1" objects="1" scenarios="1" selectLockedCells="1"/>
  <mergeCells count="12">
    <mergeCell ref="H11:I11"/>
    <mergeCell ref="A11:F11"/>
    <mergeCell ref="A12:F12"/>
    <mergeCell ref="A13:F13"/>
    <mergeCell ref="A14:F14"/>
    <mergeCell ref="A15:F15"/>
    <mergeCell ref="A16:F16"/>
    <mergeCell ref="H12:I12"/>
    <mergeCell ref="H13:I13"/>
    <mergeCell ref="H14:I14"/>
    <mergeCell ref="H15:I15"/>
    <mergeCell ref="H16:I16"/>
  </mergeCells>
  <dataValidations count="1">
    <dataValidation type="list" allowBlank="1" showInputMessage="1" showErrorMessage="1" sqref="H8">
      <formula1>$T$6:$T$7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5"/>
  <sheetViews>
    <sheetView showGridLines="0" workbookViewId="0">
      <selection activeCell="C22" sqref="C22"/>
    </sheetView>
  </sheetViews>
  <sheetFormatPr defaultRowHeight="14.4" x14ac:dyDescent="0.3"/>
  <cols>
    <col min="1" max="1" width="40.109375" customWidth="1"/>
    <col min="2" max="2" width="24.5546875" customWidth="1"/>
    <col min="3" max="3" width="21.33203125" customWidth="1"/>
    <col min="10" max="10" width="3.44140625" customWidth="1"/>
  </cols>
  <sheetData>
    <row r="1" spans="1:13" ht="15.6" x14ac:dyDescent="0.3">
      <c r="A1" s="56" t="s">
        <v>4</v>
      </c>
    </row>
    <row r="2" spans="1:13" s="98" customFormat="1" ht="15.6" x14ac:dyDescent="0.3">
      <c r="A2" s="56"/>
    </row>
    <row r="3" spans="1:13" s="98" customFormat="1" ht="15.6" x14ac:dyDescent="0.3">
      <c r="A3" s="56"/>
      <c r="H3" s="197" t="s">
        <v>773</v>
      </c>
      <c r="I3" s="198"/>
      <c r="J3" s="198"/>
      <c r="K3" s="198"/>
      <c r="L3" s="198"/>
      <c r="M3" s="198"/>
    </row>
    <row r="4" spans="1:13" x14ac:dyDescent="0.3">
      <c r="H4" s="201"/>
      <c r="I4" s="198" t="s">
        <v>770</v>
      </c>
      <c r="J4" s="199" t="s">
        <v>769</v>
      </c>
      <c r="K4" s="200" t="str">
        <f>IF(H4="","",H4*0.404686)</f>
        <v/>
      </c>
      <c r="L4" s="198" t="s">
        <v>771</v>
      </c>
      <c r="M4" s="198"/>
    </row>
    <row r="5" spans="1:13" ht="15.6" x14ac:dyDescent="0.3">
      <c r="A5" s="165" t="s">
        <v>184</v>
      </c>
      <c r="B5" s="166" t="s">
        <v>767</v>
      </c>
      <c r="C5" s="167"/>
      <c r="D5" s="167"/>
      <c r="H5" s="198"/>
      <c r="I5" s="198"/>
      <c r="J5" s="198"/>
      <c r="K5" s="198"/>
      <c r="L5" s="198"/>
      <c r="M5" s="198"/>
    </row>
    <row r="6" spans="1:13" ht="16.2" thickBot="1" x14ac:dyDescent="0.4">
      <c r="A6" s="165" t="s">
        <v>724</v>
      </c>
      <c r="B6" s="167" t="s">
        <v>758</v>
      </c>
      <c r="C6" s="167"/>
      <c r="D6" s="167"/>
    </row>
    <row r="7" spans="1:13" ht="17.399999999999999" thickBot="1" x14ac:dyDescent="0.4">
      <c r="A7" s="168" t="s">
        <v>173</v>
      </c>
      <c r="B7" s="169">
        <f>'Biotic Data'!B38</f>
        <v>33229.350000000006</v>
      </c>
      <c r="C7" s="196" t="s">
        <v>749</v>
      </c>
      <c r="D7" s="167"/>
    </row>
    <row r="8" spans="1:13" s="54" customFormat="1" ht="15.6" x14ac:dyDescent="0.3">
      <c r="A8" s="88"/>
    </row>
    <row r="9" spans="1:13" x14ac:dyDescent="0.3">
      <c r="A9" s="66" t="s">
        <v>908</v>
      </c>
    </row>
    <row r="10" spans="1:13" x14ac:dyDescent="0.3">
      <c r="B10" s="67" t="s">
        <v>27</v>
      </c>
      <c r="C10" s="113"/>
    </row>
    <row r="11" spans="1:13" s="98" customFormat="1" x14ac:dyDescent="0.3">
      <c r="A11" s="98" t="s">
        <v>692</v>
      </c>
      <c r="B11" s="228" t="s">
        <v>18</v>
      </c>
      <c r="C11" s="113"/>
    </row>
    <row r="12" spans="1:13" x14ac:dyDescent="0.3">
      <c r="A12" t="s">
        <v>31</v>
      </c>
      <c r="B12" s="183" t="s">
        <v>41</v>
      </c>
    </row>
    <row r="13" spans="1:13" x14ac:dyDescent="0.3">
      <c r="A13" t="s">
        <v>32</v>
      </c>
      <c r="B13" s="183" t="s">
        <v>743</v>
      </c>
    </row>
    <row r="14" spans="1:13" x14ac:dyDescent="0.3">
      <c r="B14" s="64"/>
    </row>
    <row r="15" spans="1:13" x14ac:dyDescent="0.3">
      <c r="A15" t="s">
        <v>52</v>
      </c>
      <c r="B15" s="184">
        <v>5000</v>
      </c>
      <c r="C15" t="s">
        <v>35</v>
      </c>
    </row>
    <row r="16" spans="1:13" x14ac:dyDescent="0.3">
      <c r="B16" s="64"/>
    </row>
    <row r="17" spans="1:4" x14ac:dyDescent="0.3">
      <c r="B17" s="92" t="s">
        <v>274</v>
      </c>
      <c r="C17" s="164" t="s">
        <v>275</v>
      </c>
    </row>
    <row r="18" spans="1:4" x14ac:dyDescent="0.3">
      <c r="A18" t="s">
        <v>34</v>
      </c>
      <c r="B18" s="183" t="s">
        <v>166</v>
      </c>
      <c r="C18" s="183" t="s">
        <v>144</v>
      </c>
    </row>
    <row r="19" spans="1:4" x14ac:dyDescent="0.3">
      <c r="A19" t="s">
        <v>154</v>
      </c>
      <c r="B19" s="183" t="s">
        <v>55</v>
      </c>
      <c r="C19" s="183" t="s">
        <v>147</v>
      </c>
    </row>
    <row r="20" spans="1:4" x14ac:dyDescent="0.3">
      <c r="A20" t="s">
        <v>155</v>
      </c>
      <c r="B20" s="183" t="s">
        <v>156</v>
      </c>
      <c r="C20" s="183" t="s">
        <v>157</v>
      </c>
    </row>
    <row r="21" spans="1:4" x14ac:dyDescent="0.3">
      <c r="A21" t="s">
        <v>150</v>
      </c>
      <c r="B21" s="183" t="s">
        <v>54</v>
      </c>
      <c r="C21" s="183" t="s">
        <v>55</v>
      </c>
    </row>
    <row r="22" spans="1:4" x14ac:dyDescent="0.3">
      <c r="A22" t="s">
        <v>148</v>
      </c>
      <c r="B22" s="183" t="s">
        <v>156</v>
      </c>
      <c r="C22" s="183" t="s">
        <v>55</v>
      </c>
    </row>
    <row r="24" spans="1:4" x14ac:dyDescent="0.3">
      <c r="A24" t="s">
        <v>799</v>
      </c>
      <c r="C24" s="193" t="s">
        <v>802</v>
      </c>
    </row>
    <row r="25" spans="1:4" x14ac:dyDescent="0.3">
      <c r="A25" s="111" t="str">
        <f>IF(C24="yes","Over how many hectares?","")</f>
        <v/>
      </c>
      <c r="C25" s="229"/>
      <c r="D25" t="str">
        <f>IF(C24="yes","hectares","")</f>
        <v/>
      </c>
    </row>
  </sheetData>
  <sheetProtection password="CDB6" sheet="1" objects="1" scenarios="1" selectLockedCells="1"/>
  <dataConsolidate/>
  <conditionalFormatting sqref="C25">
    <cfRule type="expression" dxfId="0" priority="1">
      <formula>$C$24="yes"</formula>
    </cfRule>
  </conditionalFormatting>
  <dataValidations count="13">
    <dataValidation type="list" allowBlank="1" showInputMessage="1" showErrorMessage="1" sqref="B12">
      <formula1>ClimateRegions</formula1>
    </dataValidation>
    <dataValidation type="list" allowBlank="1" showInputMessage="1" showErrorMessage="1" sqref="B13">
      <formula1>SoilTypes</formula1>
    </dataValidation>
    <dataValidation type="list" allowBlank="1" showInputMessage="1" showErrorMessage="1" promptTitle="Grassland Management" prompt="Enter N/A if the baseline is cropland._x000a_Nominal: nondegraded, sustainably managed._x000a_Moderate: Overgrazed, reduced productivity, no mgmt inputs_x000a_Severe: Major long-term loss of productivity_x000a_Improved: receive at least 1 improvement (fertilization,irrigation)_x000a_" sqref="B19">
      <formula1>GrassMgmt1</formula1>
    </dataValidation>
    <dataValidation type="list" allowBlank="1" showInputMessage="1" showErrorMessage="1" promptTitle="Grassland Inputs" prompt="Enter &quot;N/A&quot; if the project land cover type is cropland. Otherwise, select medium unless management is improved AND one or more additional management inputs/improvements have been used. In this case, select high._x000a_" sqref="B20">
      <formula1>GrassInputs1</formula1>
    </dataValidation>
    <dataValidation type="list" allowBlank="1" showInputMessage="1" showErrorMessage="1" promptTitle="Cropland Management" prompt="Enter &quot;N/A&quot; if the project land cover type is grassland._x000a_Full tillage: substantial soil disturbance, residues &lt;30% at planting._x000a_Reduced: tillage but reduced soil disturbance. Residues &gt;30% at planting._x000a_No-till: minimal disturbance, herbicides used" sqref="C21">
      <formula1>CropMgmt1</formula1>
    </dataValidation>
    <dataValidation type="list" allowBlank="1" showInputMessage="1" showErrorMessage="1" promptTitle="Cropland Inputs" prompt="Enter &quot;N/A&quot; if the project is grassland_x000a_Low: no mineral fert or N fixing crops, low residue return_x000a_Medium: typical of annual cropping with cereals, all residues returned to field_x000a_High:yes add'l practices but no manure applied_x000a_HighW/manure: manure applied" sqref="C22">
      <formula1>CropInputs1</formula1>
    </dataValidation>
    <dataValidation type="list" allowBlank="1" showInputMessage="1" showErrorMessage="1" promptTitle="Cropland Management" prompt="Enter &quot;N/A&quot; if the baseline land cover type is grassland._x000a_Full tillage: substantial soil disturbance, residues &lt;30% at planting._x000a_Reduced: tillage but reduced soil disturbance. Residues &gt;30% at planting._x000a_No-till: minimal disturbance, herbicides used" sqref="B21">
      <formula1>CropMgmt1</formula1>
    </dataValidation>
    <dataValidation type="list" allowBlank="1" showInputMessage="1" showErrorMessage="1" promptTitle="Cropland Inputs" prompt="Enter &quot;N/A&quot; if the baseline is grassland_x000a_Low: no mineral fert or N fixing crops, low residue return_x000a_Medium: typical of annual cropping with cereals, all residues returned to field_x000a_High:yes add'l practices but no manure applied_x000a_HighW/manure: manure applied" sqref="B22">
      <formula1>CropInputs1</formula1>
    </dataValidation>
    <dataValidation type="list" allowBlank="1" showInputMessage="1" showErrorMessage="1" promptTitle="Grassland Inputs" prompt="Enter &quot;N/A&quot; if the project land cover type is cropland. Otherwise, select medium unless management is improved AND one or more additional management inputs/improvements have been used. In this case, select high." sqref="C20">
      <formula1>GrassInputs1</formula1>
    </dataValidation>
    <dataValidation allowBlank="1" showInputMessage="1" showErrorMessage="1" promptTitle="Check Units" prompt="If your data are in acres, use the unit converter box in the upper right to convert your data to hectares. Enter the result in this box." sqref="B15 C25"/>
    <dataValidation type="list" allowBlank="1" showInputMessage="1" showErrorMessage="1" sqref="C24">
      <formula1>TreePlanting</formula1>
    </dataValidation>
    <dataValidation type="list" allowBlank="1" showInputMessage="1" showErrorMessage="1" sqref="B11">
      <formula1>GeographicRegions</formula1>
    </dataValidation>
    <dataValidation type="list" allowBlank="1" showInputMessage="1" showErrorMessage="1" promptTitle="Grassland Management" prompt="Enter N/A if the project is cropland._x000a_Nominal: nondegraded, sustainably managed._x000a_Moderate: Overgrazed, reduced productivity, no mgmt inputs_x000a_Severe: Major long-term loss of productivity_x000a_Improved: receive at least 1 improvement (fertilization,irrigation)_x000a_" sqref="C19">
      <formula1>GrassMgmt1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and Cover Type" prompt="LT Cultivated Crop: Continuously managed &gt;20 yrs with annual crops._x000a_ST Set Aside: Temporary set aside of annual crop or other idle cropland._x000a_Grassland: Ranges from extensively managed rangelands to intensively managed continuous pasture and hay land.">
          <x14:formula1>
            <xm:f>'Biotic Data'!$C$2:$C$4</xm:f>
          </x14:formula1>
          <xm:sqref>C18</xm:sqref>
        </x14:dataValidation>
        <x14:dataValidation type="list" allowBlank="1" showInputMessage="1" showErrorMessage="1" promptTitle="Land Cover Type" prompt="LT Cultivated Crop: Continuously managed &gt;20 yrs with annual crops._x000a_ST Set Aside: Temporary set aside of annual crop or other idle cropland._x000a_Grassland: Ranges from extensively managed rangelands to intensively managed continuous pasture and hay land.">
          <x14:formula1>
            <xm:f>'Biotic Data'!$C$2:$C$4</xm:f>
          </x14:formula1>
          <xm:sqref>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0"/>
  <sheetViews>
    <sheetView showGridLines="0" topLeftCell="A4" zoomScaleNormal="100" workbookViewId="0">
      <selection activeCell="C23" sqref="C23"/>
    </sheetView>
  </sheetViews>
  <sheetFormatPr defaultRowHeight="14.4" x14ac:dyDescent="0.3"/>
  <cols>
    <col min="1" max="1" width="42.44140625" customWidth="1"/>
    <col min="2" max="2" width="36.109375" style="98" customWidth="1"/>
    <col min="3" max="3" width="18.33203125" customWidth="1"/>
    <col min="4" max="4" width="8.33203125" customWidth="1"/>
    <col min="5" max="5" width="8.44140625" style="98" customWidth="1"/>
    <col min="6" max="6" width="0" style="98" hidden="1" customWidth="1"/>
    <col min="7" max="7" width="9.109375" style="98"/>
    <col min="8" max="8" width="8.44140625" customWidth="1"/>
    <col min="9" max="9" width="12.6640625" customWidth="1"/>
    <col min="11" max="11" width="3.44140625" customWidth="1"/>
    <col min="12" max="12" width="10.44140625" customWidth="1"/>
    <col min="13" max="13" width="8.33203125" customWidth="1"/>
    <col min="15" max="15" width="0" hidden="1" customWidth="1"/>
    <col min="17" max="17" width="8.44140625" customWidth="1"/>
  </cols>
  <sheetData>
    <row r="1" spans="1:19" ht="15.6" x14ac:dyDescent="0.3">
      <c r="A1" s="56" t="s">
        <v>4</v>
      </c>
      <c r="B1" s="56"/>
    </row>
    <row r="5" spans="1:19" x14ac:dyDescent="0.3">
      <c r="A5" s="167" t="s">
        <v>184</v>
      </c>
      <c r="B5" s="167"/>
      <c r="C5" s="171" t="s">
        <v>766</v>
      </c>
      <c r="D5" s="167"/>
      <c r="E5" s="167"/>
      <c r="F5" s="167"/>
      <c r="G5" s="167"/>
    </row>
    <row r="6" spans="1:19" ht="16.2" thickBot="1" x14ac:dyDescent="0.4">
      <c r="A6" s="167" t="s">
        <v>185</v>
      </c>
      <c r="B6" s="167"/>
      <c r="C6" s="167" t="s">
        <v>759</v>
      </c>
      <c r="D6" s="167"/>
      <c r="E6" s="167"/>
      <c r="F6" s="167"/>
      <c r="G6" s="167"/>
    </row>
    <row r="7" spans="1:19" ht="17.399999999999999" thickBot="1" x14ac:dyDescent="0.4">
      <c r="A7" s="167" t="s">
        <v>173</v>
      </c>
      <c r="B7" s="167"/>
      <c r="C7" s="161">
        <f>'Enteric Data'!E25-'Enteric Data'!O25</f>
        <v>0</v>
      </c>
      <c r="D7" s="167" t="s">
        <v>195</v>
      </c>
      <c r="E7" s="167"/>
      <c r="F7" s="167"/>
      <c r="G7" s="167"/>
    </row>
    <row r="8" spans="1:19" s="98" customFormat="1" x14ac:dyDescent="0.3">
      <c r="A8" s="107"/>
      <c r="B8" s="107"/>
      <c r="C8" s="172"/>
      <c r="D8" s="107"/>
      <c r="E8" s="107"/>
      <c r="F8" s="107"/>
      <c r="G8" s="107"/>
    </row>
    <row r="9" spans="1:19" s="98" customFormat="1" x14ac:dyDescent="0.3">
      <c r="A9" s="170" t="s">
        <v>1146</v>
      </c>
      <c r="B9" s="170"/>
      <c r="C9" s="109"/>
    </row>
    <row r="10" spans="1:19" s="98" customFormat="1" x14ac:dyDescent="0.3">
      <c r="A10" s="170"/>
      <c r="B10" s="170"/>
      <c r="C10" s="109"/>
    </row>
    <row r="11" spans="1:19" s="98" customFormat="1" x14ac:dyDescent="0.3">
      <c r="A11" s="129" t="s">
        <v>692</v>
      </c>
      <c r="B11" s="129"/>
      <c r="C11" s="207" t="s">
        <v>18</v>
      </c>
    </row>
    <row r="12" spans="1:19" s="98" customFormat="1" x14ac:dyDescent="0.3">
      <c r="A12" s="170"/>
      <c r="B12" s="170"/>
      <c r="C12" s="109"/>
    </row>
    <row r="13" spans="1:19" s="98" customFormat="1" x14ac:dyDescent="0.3">
      <c r="A13" s="107"/>
      <c r="B13" s="107"/>
      <c r="C13" s="273" t="s">
        <v>274</v>
      </c>
      <c r="D13" s="273"/>
      <c r="E13" s="273"/>
      <c r="F13" s="273"/>
      <c r="G13" s="273"/>
      <c r="H13" s="273"/>
      <c r="I13" s="273"/>
      <c r="J13" s="273"/>
      <c r="L13" s="274" t="s">
        <v>275</v>
      </c>
      <c r="M13" s="274"/>
      <c r="N13" s="274"/>
      <c r="O13" s="274"/>
      <c r="P13" s="274"/>
      <c r="Q13" s="274"/>
      <c r="R13" s="274"/>
      <c r="S13" s="274"/>
    </row>
    <row r="14" spans="1:19" s="98" customFormat="1" ht="43.2" x14ac:dyDescent="0.3">
      <c r="B14" s="260" t="s">
        <v>1155</v>
      </c>
      <c r="C14" s="110" t="s">
        <v>221</v>
      </c>
      <c r="D14" s="108" t="s">
        <v>253</v>
      </c>
      <c r="E14" s="108" t="s">
        <v>254</v>
      </c>
      <c r="F14" s="108" t="s">
        <v>255</v>
      </c>
      <c r="G14" s="112" t="s">
        <v>256</v>
      </c>
      <c r="H14" s="112" t="s">
        <v>257</v>
      </c>
      <c r="I14" s="112" t="s">
        <v>258</v>
      </c>
      <c r="J14" s="112" t="s">
        <v>259</v>
      </c>
      <c r="K14" s="111"/>
      <c r="L14" s="119" t="s">
        <v>221</v>
      </c>
      <c r="M14" s="108" t="s">
        <v>253</v>
      </c>
      <c r="N14" s="108" t="s">
        <v>254</v>
      </c>
      <c r="O14" s="108" t="s">
        <v>255</v>
      </c>
      <c r="P14" s="112" t="s">
        <v>256</v>
      </c>
      <c r="Q14" s="112" t="s">
        <v>257</v>
      </c>
      <c r="R14" s="112" t="s">
        <v>258</v>
      </c>
      <c r="S14" s="112" t="s">
        <v>259</v>
      </c>
    </row>
    <row r="15" spans="1:19" x14ac:dyDescent="0.3">
      <c r="A15" s="107" t="s">
        <v>29</v>
      </c>
      <c r="B15" s="107"/>
      <c r="C15" s="184">
        <v>1000</v>
      </c>
      <c r="D15" s="184">
        <v>900</v>
      </c>
      <c r="E15" s="185">
        <v>40</v>
      </c>
      <c r="F15" s="185">
        <v>75</v>
      </c>
      <c r="G15" s="185">
        <v>75</v>
      </c>
      <c r="H15" s="185">
        <v>300</v>
      </c>
      <c r="I15" s="185">
        <v>150</v>
      </c>
      <c r="J15" s="185">
        <v>300</v>
      </c>
      <c r="L15" s="184">
        <v>1000</v>
      </c>
      <c r="M15" s="184">
        <v>900</v>
      </c>
      <c r="N15" s="184">
        <v>40</v>
      </c>
      <c r="O15" s="184">
        <v>75</v>
      </c>
      <c r="P15" s="184">
        <v>75</v>
      </c>
      <c r="Q15" s="184">
        <v>300</v>
      </c>
      <c r="R15" s="184">
        <v>150</v>
      </c>
      <c r="S15" s="184">
        <v>300</v>
      </c>
    </row>
    <row r="16" spans="1:19" s="98" customFormat="1" x14ac:dyDescent="0.3">
      <c r="A16" s="107" t="s">
        <v>272</v>
      </c>
      <c r="B16" s="107"/>
      <c r="C16" s="202">
        <f>LOOKUP(C11,'Enteric Data'!A79:A87,'Enteric Data'!B79:B87)</f>
        <v>90</v>
      </c>
      <c r="D16" s="202">
        <f>LOOKUP(C11,'Enteric Data'!A79:A87,'Enteric Data'!C79:C87)</f>
        <v>80</v>
      </c>
      <c r="E16" s="124">
        <v>0</v>
      </c>
      <c r="F16" s="124">
        <v>0</v>
      </c>
      <c r="G16" s="124">
        <v>0</v>
      </c>
      <c r="H16" s="124">
        <v>0</v>
      </c>
      <c r="I16" s="124">
        <v>0</v>
      </c>
      <c r="J16" s="124">
        <v>0</v>
      </c>
      <c r="L16" s="202">
        <f>LOOKUP(C11,'Enteric Data'!A79:A87,'Enteric Data'!B79:B87)</f>
        <v>90</v>
      </c>
      <c r="M16" s="202">
        <f>LOOKUP(C11,'Enteric Data'!A79:A87,'Enteric Data'!C79:C87)</f>
        <v>80</v>
      </c>
      <c r="N16" s="124">
        <v>0</v>
      </c>
      <c r="O16" s="124">
        <v>0</v>
      </c>
      <c r="P16" s="124">
        <v>0</v>
      </c>
      <c r="Q16" s="124">
        <v>0</v>
      </c>
      <c r="R16" s="124">
        <v>0</v>
      </c>
      <c r="S16" s="124">
        <v>0</v>
      </c>
    </row>
    <row r="17" spans="1:19" x14ac:dyDescent="0.3">
      <c r="A17" t="s">
        <v>929</v>
      </c>
      <c r="C17" s="242"/>
      <c r="D17" s="242"/>
      <c r="E17" s="242"/>
      <c r="F17" s="242"/>
      <c r="G17" s="242"/>
      <c r="H17" s="242"/>
      <c r="I17" s="242"/>
      <c r="J17" s="242"/>
      <c r="K17" s="64"/>
      <c r="L17" s="242"/>
      <c r="M17" s="242"/>
      <c r="N17" s="242"/>
      <c r="O17" s="242"/>
      <c r="P17" s="242"/>
      <c r="Q17" s="242"/>
      <c r="R17" s="242"/>
      <c r="S17" s="242"/>
    </row>
    <row r="18" spans="1:19" x14ac:dyDescent="0.3">
      <c r="A18" s="107" t="s">
        <v>927</v>
      </c>
      <c r="B18" s="107"/>
      <c r="C18" s="184">
        <v>80</v>
      </c>
      <c r="D18" s="184">
        <v>80</v>
      </c>
      <c r="E18" s="184">
        <v>80</v>
      </c>
      <c r="F18" s="184">
        <v>20</v>
      </c>
      <c r="G18" s="184">
        <v>80</v>
      </c>
      <c r="H18" s="184">
        <v>80</v>
      </c>
      <c r="I18" s="184">
        <v>80</v>
      </c>
      <c r="J18" s="184">
        <v>80</v>
      </c>
      <c r="L18" s="184">
        <v>80</v>
      </c>
      <c r="M18" s="184">
        <v>80</v>
      </c>
      <c r="N18" s="184">
        <v>80</v>
      </c>
      <c r="O18" s="184">
        <v>20</v>
      </c>
      <c r="P18" s="184">
        <v>80</v>
      </c>
      <c r="Q18" s="184">
        <v>80</v>
      </c>
      <c r="R18" s="184">
        <v>80</v>
      </c>
      <c r="S18" s="184">
        <v>80</v>
      </c>
    </row>
    <row r="19" spans="1:19" s="98" customFormat="1" x14ac:dyDescent="0.3">
      <c r="A19" s="238" t="s">
        <v>928</v>
      </c>
      <c r="B19" s="238"/>
      <c r="C19" s="184">
        <v>20</v>
      </c>
      <c r="D19" s="184">
        <v>20</v>
      </c>
      <c r="E19" s="184">
        <v>20</v>
      </c>
      <c r="F19" s="184">
        <v>80</v>
      </c>
      <c r="G19" s="184">
        <v>20</v>
      </c>
      <c r="H19" s="184">
        <v>20</v>
      </c>
      <c r="I19" s="184">
        <v>20</v>
      </c>
      <c r="J19" s="184">
        <v>20</v>
      </c>
      <c r="L19" s="184">
        <v>20</v>
      </c>
      <c r="M19" s="184">
        <v>20</v>
      </c>
      <c r="N19" s="184">
        <v>20</v>
      </c>
      <c r="O19" s="184">
        <v>80</v>
      </c>
      <c r="P19" s="184">
        <v>20</v>
      </c>
      <c r="Q19" s="184">
        <v>20</v>
      </c>
      <c r="R19" s="184">
        <v>20</v>
      </c>
      <c r="S19" s="184">
        <v>20</v>
      </c>
    </row>
    <row r="20" spans="1:19" s="98" customFormat="1" x14ac:dyDescent="0.3">
      <c r="A20" s="107" t="s">
        <v>1153</v>
      </c>
      <c r="B20" s="107"/>
      <c r="C20" s="184">
        <v>0</v>
      </c>
      <c r="D20" s="184">
        <v>0</v>
      </c>
      <c r="E20" s="184">
        <v>0</v>
      </c>
      <c r="F20" s="184">
        <v>0</v>
      </c>
      <c r="G20" s="184">
        <v>0</v>
      </c>
      <c r="H20" s="184">
        <v>0</v>
      </c>
      <c r="I20" s="184">
        <v>0</v>
      </c>
      <c r="J20" s="184">
        <v>0</v>
      </c>
      <c r="L20" s="184">
        <v>0</v>
      </c>
      <c r="M20" s="184">
        <v>0</v>
      </c>
      <c r="N20" s="184">
        <v>0</v>
      </c>
      <c r="O20" s="184">
        <v>0</v>
      </c>
      <c r="P20" s="184">
        <v>0</v>
      </c>
      <c r="Q20" s="184">
        <v>0</v>
      </c>
      <c r="R20" s="184">
        <v>0</v>
      </c>
      <c r="S20" s="184">
        <v>0</v>
      </c>
    </row>
    <row r="21" spans="1:19" s="98" customFormat="1" x14ac:dyDescent="0.3">
      <c r="A21" s="64"/>
      <c r="B21" s="64"/>
      <c r="C21" s="242"/>
      <c r="D21" s="242"/>
      <c r="E21" s="242"/>
      <c r="F21" s="243"/>
      <c r="G21" s="243"/>
      <c r="H21" s="242"/>
      <c r="I21" s="242"/>
      <c r="J21" s="242"/>
      <c r="K21" s="64"/>
      <c r="L21" s="242"/>
      <c r="M21" s="242"/>
      <c r="N21" s="242"/>
      <c r="O21" s="243"/>
      <c r="P21" s="243"/>
      <c r="Q21" s="242"/>
      <c r="R21" s="242"/>
      <c r="S21" s="242"/>
    </row>
    <row r="22" spans="1:19" x14ac:dyDescent="0.3">
      <c r="A22" t="s">
        <v>262</v>
      </c>
      <c r="C22" s="202">
        <f>LOOKUP(C11,'Enteric Data'!$A$43:$A$51,'Enteric Data'!$B$43:$B$51)</f>
        <v>600</v>
      </c>
      <c r="D22" s="202">
        <f>LOOKUP(C11,'Enteric Data'!$A$43:$A$51,'Enteric Data'!$C$43:$C$51)</f>
        <v>500</v>
      </c>
      <c r="E22" s="202">
        <f>LOOKUP(C11,'Enteric Data'!$A$43:$A$51,'Enteric Data'!$D$43:$D$51)</f>
        <v>800</v>
      </c>
      <c r="F22" s="202">
        <f>LOOKUP(C11,'Enteric Data'!A43:A51,'Enteric Data'!E43:E51)</f>
        <v>100</v>
      </c>
      <c r="G22" s="202">
        <f>LOOKUP(C11,'Enteric Data'!$A$43:$A$51,'Enteric Data'!$F$43:$F$51)</f>
        <v>185</v>
      </c>
      <c r="H22" s="202">
        <f>LOOKUP(C11,'Enteric Data'!$A$43:$A$51,'Enteric Data'!$G$43:$G$51)</f>
        <v>265</v>
      </c>
      <c r="I22" s="202">
        <f>LOOKUP(C11,'Enteric Data'!$A$43:$A$51,'Enteric Data'!$H$43:$H$51)</f>
        <v>375</v>
      </c>
      <c r="J22" s="202">
        <f>LOOKUP(C11,'Enteric Data'!$A$43:$A$51,'Enteric Data'!$I43:$I$51)</f>
        <v>415</v>
      </c>
      <c r="L22" s="202">
        <f>LOOKUP(C11,'Enteric Data'!$A$43:$A$51,'Enteric Data'!$B$43:$B$51)</f>
        <v>600</v>
      </c>
      <c r="M22" s="202">
        <f>LOOKUP(C11,'Enteric Data'!$A$43:$A$51,'Enteric Data'!$C$43:$C$51)</f>
        <v>500</v>
      </c>
      <c r="N22" s="202">
        <f>LOOKUP(C11,'Enteric Data'!$A$43:$A$51,'Enteric Data'!$D$43:$D$51)</f>
        <v>800</v>
      </c>
      <c r="O22" s="202">
        <f>LOOKUP(C11,'Enteric Data'!A43:A51,'Enteric Data'!E43:E51)</f>
        <v>100</v>
      </c>
      <c r="P22" s="202">
        <f>LOOKUP(C11,'Enteric Data'!$A$43:$A$51,'Enteric Data'!$F$43:$F$51)</f>
        <v>185</v>
      </c>
      <c r="Q22" s="202">
        <f>LOOKUP(C11,'Enteric Data'!$A$43:$A$51,'Enteric Data'!$G$43:$G$51)</f>
        <v>265</v>
      </c>
      <c r="R22" s="202">
        <f>LOOKUP(C11,'Enteric Data'!$A$43:$A$51,'Enteric Data'!$H$43:$H$51)</f>
        <v>375</v>
      </c>
      <c r="S22" s="202">
        <f>LOOKUP(C11,'Enteric Data'!$A$43:$A$51,'Enteric Data'!$I$43:$I$51)</f>
        <v>415</v>
      </c>
    </row>
    <row r="23" spans="1:19" ht="16.2" x14ac:dyDescent="0.3">
      <c r="A23" t="s">
        <v>754</v>
      </c>
      <c r="C23" s="203">
        <f>LOOKUP(C11,'Enteric Data'!A55:A63,'Enteric Data'!B55:B63)</f>
        <v>0</v>
      </c>
      <c r="D23" s="203">
        <f>LOOKUP(C11,'Enteric Data'!A55:A63,'Enteric Data'!C55:C63)</f>
        <v>0</v>
      </c>
      <c r="E23" s="203">
        <f>LOOKUP(C11,'Enteric Data'!A55:A63,'Enteric Data'!D55:D63)</f>
        <v>0</v>
      </c>
      <c r="F23" s="203">
        <f>LOOKUP(C11,'Enteric Data'!A55:A63,'Enteric Data'!E55:E63)</f>
        <v>0.9</v>
      </c>
      <c r="G23" s="203">
        <f>LOOKUP(C11,'Enteric Data'!A55:A63,'Enteric Data'!F55:F63)</f>
        <v>0.9</v>
      </c>
      <c r="H23" s="203">
        <f>LOOKUP(C11,'Enteric Data'!A55:A63,'Enteric Data'!G55:G63)</f>
        <v>0.7</v>
      </c>
      <c r="I23" s="203">
        <f>LOOKUP(C11,'Enteric Data'!A55:A63,'Enteric Data'!H55:H63)</f>
        <v>0.4</v>
      </c>
      <c r="J23" s="203">
        <f>LOOKUP(C11,'Enteric Data'!A55:A63,'Enteric Data'!I55:I63)</f>
        <v>1.3</v>
      </c>
      <c r="K23" s="125"/>
      <c r="L23" s="203">
        <f>LOOKUP(C11,'Enteric Data'!A55:A63,'Enteric Data'!B55:B63)</f>
        <v>0</v>
      </c>
      <c r="M23" s="203">
        <f>LOOKUP(C11,'Enteric Data'!A55:A63,'Enteric Data'!C55:C63)</f>
        <v>0</v>
      </c>
      <c r="N23" s="203">
        <f>LOOKUP(C11,'Enteric Data'!A55:A63,'Enteric Data'!D55:D63)</f>
        <v>0</v>
      </c>
      <c r="O23" s="203">
        <f>LOOKUP(C11,'Enteric Data'!A55:A63,'Enteric Data'!E55:E63)</f>
        <v>0.9</v>
      </c>
      <c r="P23" s="203">
        <f>LOOKUP(C11,'Enteric Data'!A55:A63,'Enteric Data'!F55:F63)</f>
        <v>0.9</v>
      </c>
      <c r="Q23" s="203">
        <f>LOOKUP(C11,'Enteric Data'!A55:A63,'Enteric Data'!G55:G63)</f>
        <v>0.7</v>
      </c>
      <c r="R23" s="203">
        <f>LOOKUP(C11,'Enteric Data'!A55:A63,'Enteric Data'!H55:H63)</f>
        <v>0.4</v>
      </c>
      <c r="S23" s="203">
        <f>LOOKUP(C11,'Enteric Data'!A55:A63,'Enteric Data'!I55:I63)</f>
        <v>1.3</v>
      </c>
    </row>
    <row r="24" spans="1:19" ht="16.2" x14ac:dyDescent="0.3">
      <c r="A24" t="s">
        <v>1152</v>
      </c>
      <c r="C24" s="202">
        <f>LOOKUP(C11,'Enteric Data'!A67:A75,'Enteric Data'!B67:B75)</f>
        <v>8395</v>
      </c>
      <c r="D24" s="202">
        <f>LOOKUP(C11,'Enteric Data'!A67:A75,'Enteric Data'!C67:C75)</f>
        <v>1204.5</v>
      </c>
      <c r="E24" s="124">
        <v>0</v>
      </c>
      <c r="F24" s="124">
        <v>0</v>
      </c>
      <c r="G24" s="124">
        <v>0</v>
      </c>
      <c r="H24" s="124">
        <v>0</v>
      </c>
      <c r="I24" s="124">
        <v>0</v>
      </c>
      <c r="J24" s="124">
        <v>0</v>
      </c>
      <c r="L24" s="202">
        <f>LOOKUP(C11,'Enteric Data'!A67:A75,'Enteric Data'!B67:B75)</f>
        <v>8395</v>
      </c>
      <c r="M24" s="202">
        <f>LOOKUP(C11,'Enteric Data'!A67:A75,'Enteric Data'!C67:C75)</f>
        <v>1204.5</v>
      </c>
      <c r="N24" s="124">
        <v>0</v>
      </c>
      <c r="O24" s="124">
        <v>0</v>
      </c>
      <c r="P24" s="124">
        <v>0</v>
      </c>
      <c r="Q24" s="124">
        <v>0</v>
      </c>
      <c r="R24" s="124">
        <v>0</v>
      </c>
      <c r="S24" s="124">
        <v>0</v>
      </c>
    </row>
    <row r="25" spans="1:19" x14ac:dyDescent="0.3">
      <c r="A25" t="s">
        <v>224</v>
      </c>
      <c r="C25" s="186">
        <v>4</v>
      </c>
      <c r="D25" s="186">
        <v>4</v>
      </c>
      <c r="E25" s="124">
        <v>0</v>
      </c>
      <c r="F25" s="124">
        <v>0</v>
      </c>
      <c r="G25" s="124">
        <v>0</v>
      </c>
      <c r="H25" s="124">
        <v>0</v>
      </c>
      <c r="I25" s="124">
        <v>0</v>
      </c>
      <c r="J25" s="124">
        <v>0</v>
      </c>
      <c r="L25" s="186">
        <v>4</v>
      </c>
      <c r="M25" s="186">
        <v>4</v>
      </c>
      <c r="N25" s="124">
        <v>0</v>
      </c>
      <c r="O25" s="124">
        <v>0</v>
      </c>
      <c r="P25" s="124">
        <v>0</v>
      </c>
      <c r="Q25" s="124">
        <v>0</v>
      </c>
      <c r="R25" s="124">
        <v>0</v>
      </c>
      <c r="S25" s="124">
        <v>0</v>
      </c>
    </row>
    <row r="26" spans="1:19" s="98" customFormat="1" x14ac:dyDescent="0.3">
      <c r="C26" s="235"/>
      <c r="D26" s="235"/>
      <c r="E26" s="133"/>
      <c r="F26" s="133"/>
      <c r="G26" s="133"/>
      <c r="H26" s="133"/>
      <c r="I26" s="133"/>
      <c r="J26" s="133"/>
      <c r="K26" s="107"/>
      <c r="L26" s="235"/>
      <c r="M26" s="235"/>
      <c r="N26" s="133"/>
      <c r="O26" s="133"/>
      <c r="P26" s="133"/>
      <c r="Q26" s="133"/>
      <c r="R26" s="133"/>
      <c r="S26" s="133"/>
    </row>
    <row r="27" spans="1:19" s="98" customFormat="1" x14ac:dyDescent="0.3">
      <c r="A27" s="100" t="s">
        <v>935</v>
      </c>
      <c r="B27" s="100"/>
      <c r="C27" s="235"/>
      <c r="D27" s="235"/>
      <c r="E27" s="133"/>
      <c r="F27" s="133"/>
      <c r="G27" s="133"/>
      <c r="H27" s="133"/>
      <c r="I27" s="133"/>
      <c r="J27" s="133"/>
      <c r="K27" s="107"/>
      <c r="L27" s="235"/>
      <c r="M27" s="235"/>
      <c r="N27" s="133"/>
      <c r="O27" s="133"/>
      <c r="P27" s="133"/>
      <c r="Q27" s="133"/>
      <c r="R27" s="133"/>
      <c r="S27" s="133"/>
    </row>
    <row r="28" spans="1:19" s="98" customFormat="1" x14ac:dyDescent="0.3">
      <c r="A28" s="100" t="s">
        <v>1130</v>
      </c>
      <c r="C28" s="237" t="s">
        <v>1154</v>
      </c>
      <c r="D28" s="235"/>
      <c r="E28" s="133"/>
      <c r="F28" s="133"/>
      <c r="G28" s="133"/>
      <c r="H28" s="133"/>
      <c r="I28" s="133"/>
      <c r="J28" s="133"/>
      <c r="K28" s="107"/>
      <c r="L28" s="235"/>
      <c r="M28" s="235"/>
      <c r="N28" s="133"/>
      <c r="O28" s="133"/>
      <c r="P28" s="133"/>
      <c r="Q28" s="133"/>
      <c r="R28" s="133"/>
      <c r="S28" s="133"/>
    </row>
    <row r="29" spans="1:19" s="98" customFormat="1" ht="42" customHeight="1" x14ac:dyDescent="0.3">
      <c r="A29" s="100" t="s">
        <v>937</v>
      </c>
      <c r="B29" s="100" t="s">
        <v>936</v>
      </c>
      <c r="C29" s="110" t="s">
        <v>221</v>
      </c>
      <c r="D29" s="108" t="s">
        <v>253</v>
      </c>
      <c r="E29" s="108" t="s">
        <v>254</v>
      </c>
      <c r="F29" s="108" t="s">
        <v>255</v>
      </c>
      <c r="G29" s="112" t="s">
        <v>256</v>
      </c>
      <c r="H29" s="112" t="s">
        <v>257</v>
      </c>
      <c r="I29" s="112" t="s">
        <v>258</v>
      </c>
      <c r="J29" s="112" t="s">
        <v>259</v>
      </c>
      <c r="K29" s="107"/>
      <c r="L29" s="110" t="s">
        <v>221</v>
      </c>
      <c r="M29" s="108" t="s">
        <v>253</v>
      </c>
      <c r="N29" s="108" t="s">
        <v>254</v>
      </c>
      <c r="O29" s="108" t="s">
        <v>255</v>
      </c>
      <c r="P29" s="112" t="s">
        <v>256</v>
      </c>
      <c r="Q29" s="112" t="s">
        <v>257</v>
      </c>
      <c r="R29" s="112" t="s">
        <v>258</v>
      </c>
      <c r="S29" s="112" t="s">
        <v>259</v>
      </c>
    </row>
    <row r="30" spans="1:19" s="98" customFormat="1" x14ac:dyDescent="0.3">
      <c r="A30" s="183" t="s">
        <v>958</v>
      </c>
      <c r="B30" s="141" t="str">
        <f>IF(A30="","",LOOKUP($A$30,'Enteric Data'!$A$90:$A$195,'Enteric Data'!$B$90:$B$195))</f>
        <v>5-28-236</v>
      </c>
      <c r="C30" s="184">
        <v>50</v>
      </c>
      <c r="D30" s="184">
        <v>50</v>
      </c>
      <c r="E30" s="184">
        <v>100</v>
      </c>
      <c r="F30" s="184">
        <v>0</v>
      </c>
      <c r="G30" s="184">
        <v>0</v>
      </c>
      <c r="H30" s="184">
        <v>100</v>
      </c>
      <c r="I30" s="184">
        <v>100</v>
      </c>
      <c r="J30" s="184">
        <v>100</v>
      </c>
      <c r="K30" s="107"/>
      <c r="L30" s="184">
        <v>50</v>
      </c>
      <c r="M30" s="184">
        <v>50</v>
      </c>
      <c r="N30" s="184">
        <v>100</v>
      </c>
      <c r="O30" s="184">
        <v>0</v>
      </c>
      <c r="P30" s="184">
        <v>0</v>
      </c>
      <c r="Q30" s="184">
        <v>100</v>
      </c>
      <c r="R30" s="184">
        <v>100</v>
      </c>
      <c r="S30" s="184">
        <v>100</v>
      </c>
    </row>
    <row r="31" spans="1:19" s="98" customFormat="1" x14ac:dyDescent="0.3">
      <c r="A31" s="183" t="s">
        <v>975</v>
      </c>
      <c r="B31" s="141" t="str">
        <f>IF(A31="","",LOOKUP(A31,'Enteric Data'!$A$90:$A$195,'Enteric Data'!$B$90:$B$195))</f>
        <v>1-02-244</v>
      </c>
      <c r="C31" s="184">
        <v>50</v>
      </c>
      <c r="D31" s="184">
        <v>50</v>
      </c>
      <c r="E31" s="184">
        <v>0</v>
      </c>
      <c r="F31" s="184">
        <v>0</v>
      </c>
      <c r="G31" s="184">
        <v>100</v>
      </c>
      <c r="H31" s="184">
        <v>0</v>
      </c>
      <c r="I31" s="184">
        <v>0</v>
      </c>
      <c r="J31" s="184">
        <v>0</v>
      </c>
      <c r="K31" s="107"/>
      <c r="L31" s="184">
        <v>50</v>
      </c>
      <c r="M31" s="184">
        <v>50</v>
      </c>
      <c r="N31" s="184">
        <v>0</v>
      </c>
      <c r="O31" s="184">
        <v>0</v>
      </c>
      <c r="P31" s="184">
        <v>100</v>
      </c>
      <c r="Q31" s="184">
        <v>0</v>
      </c>
      <c r="R31" s="184">
        <v>0</v>
      </c>
      <c r="S31" s="184">
        <v>0</v>
      </c>
    </row>
    <row r="32" spans="1:19" s="98" customFormat="1" x14ac:dyDescent="0.3">
      <c r="A32" s="183"/>
      <c r="B32" s="141" t="str">
        <f>IF(A32="","",LOOKUP(A32,'Enteric Data'!$A$90:$A$195,'Enteric Data'!$B$90:$B$195))</f>
        <v/>
      </c>
      <c r="C32" s="184">
        <v>0</v>
      </c>
      <c r="D32" s="184">
        <v>0</v>
      </c>
      <c r="E32" s="184">
        <v>0</v>
      </c>
      <c r="F32" s="184">
        <v>0</v>
      </c>
      <c r="G32" s="184">
        <v>0</v>
      </c>
      <c r="H32" s="184">
        <v>0</v>
      </c>
      <c r="I32" s="184">
        <v>0</v>
      </c>
      <c r="J32" s="184">
        <v>0</v>
      </c>
      <c r="K32" s="107"/>
      <c r="L32" s="184">
        <v>0</v>
      </c>
      <c r="M32" s="184">
        <v>0</v>
      </c>
      <c r="N32" s="184">
        <v>0</v>
      </c>
      <c r="O32" s="184">
        <v>0</v>
      </c>
      <c r="P32" s="184">
        <v>0</v>
      </c>
      <c r="Q32" s="184">
        <v>0</v>
      </c>
      <c r="R32" s="184">
        <v>0</v>
      </c>
      <c r="S32" s="184">
        <v>0</v>
      </c>
    </row>
    <row r="33" spans="1:19" s="98" customFormat="1" x14ac:dyDescent="0.3">
      <c r="A33" s="183"/>
      <c r="B33" s="141" t="str">
        <f>IF(A33="","",LOOKUP(A33,'Enteric Data'!$A$90:$A$195,'Enteric Data'!$B$90:$B$195))</f>
        <v/>
      </c>
      <c r="C33" s="184">
        <v>0</v>
      </c>
      <c r="D33" s="184">
        <v>0</v>
      </c>
      <c r="E33" s="184">
        <v>0</v>
      </c>
      <c r="F33" s="184">
        <v>0</v>
      </c>
      <c r="G33" s="184">
        <v>0</v>
      </c>
      <c r="H33" s="184">
        <v>0</v>
      </c>
      <c r="I33" s="184">
        <v>0</v>
      </c>
      <c r="J33" s="184">
        <v>0</v>
      </c>
      <c r="K33" s="107"/>
      <c r="L33" s="184">
        <v>0</v>
      </c>
      <c r="M33" s="184">
        <v>0</v>
      </c>
      <c r="N33" s="184">
        <v>0</v>
      </c>
      <c r="O33" s="184">
        <v>0</v>
      </c>
      <c r="P33" s="184">
        <v>0</v>
      </c>
      <c r="Q33" s="184">
        <v>0</v>
      </c>
      <c r="R33" s="184">
        <v>0</v>
      </c>
      <c r="S33" s="184">
        <v>0</v>
      </c>
    </row>
    <row r="34" spans="1:19" s="98" customFormat="1" x14ac:dyDescent="0.3">
      <c r="A34" s="183"/>
      <c r="B34" s="141" t="str">
        <f>IF(A34="","",LOOKUP(A34,'Enteric Data'!$A$90:$A$195,'Enteric Data'!$B$90:$B$195))</f>
        <v/>
      </c>
      <c r="C34" s="184">
        <v>0</v>
      </c>
      <c r="D34" s="184">
        <v>0</v>
      </c>
      <c r="E34" s="184">
        <v>0</v>
      </c>
      <c r="F34" s="184">
        <v>0</v>
      </c>
      <c r="G34" s="184">
        <v>0</v>
      </c>
      <c r="H34" s="184">
        <v>0</v>
      </c>
      <c r="I34" s="184">
        <v>0</v>
      </c>
      <c r="J34" s="184">
        <v>0</v>
      </c>
      <c r="K34" s="107"/>
      <c r="L34" s="184">
        <v>0</v>
      </c>
      <c r="M34" s="184">
        <v>0</v>
      </c>
      <c r="N34" s="184">
        <v>0</v>
      </c>
      <c r="O34" s="184">
        <v>0</v>
      </c>
      <c r="P34" s="184">
        <v>0</v>
      </c>
      <c r="Q34" s="184">
        <v>0</v>
      </c>
      <c r="R34" s="184">
        <v>0</v>
      </c>
      <c r="S34" s="184">
        <v>0</v>
      </c>
    </row>
    <row r="35" spans="1:19" s="98" customFormat="1" x14ac:dyDescent="0.3">
      <c r="A35" s="183"/>
      <c r="B35" s="141" t="str">
        <f>IF(A35="","",LOOKUP(A35,'Enteric Data'!$A$90:$A$195,'Enteric Data'!$B$90:$B$195))</f>
        <v/>
      </c>
      <c r="C35" s="184">
        <v>0</v>
      </c>
      <c r="D35" s="184">
        <v>0</v>
      </c>
      <c r="E35" s="184">
        <v>0</v>
      </c>
      <c r="F35" s="184">
        <v>0</v>
      </c>
      <c r="G35" s="184">
        <v>0</v>
      </c>
      <c r="H35" s="184">
        <v>0</v>
      </c>
      <c r="I35" s="184">
        <v>0</v>
      </c>
      <c r="J35" s="184">
        <v>0</v>
      </c>
      <c r="K35" s="107"/>
      <c r="L35" s="184">
        <v>0</v>
      </c>
      <c r="M35" s="184">
        <v>0</v>
      </c>
      <c r="N35" s="184">
        <v>0</v>
      </c>
      <c r="O35" s="184">
        <v>0</v>
      </c>
      <c r="P35" s="184">
        <v>0</v>
      </c>
      <c r="Q35" s="184">
        <v>0</v>
      </c>
      <c r="R35" s="184">
        <v>0</v>
      </c>
      <c r="S35" s="184">
        <v>0</v>
      </c>
    </row>
    <row r="36" spans="1:19" s="98" customFormat="1" x14ac:dyDescent="0.3">
      <c r="A36" s="183"/>
      <c r="B36" s="141" t="str">
        <f>IF(A36="","",LOOKUP(A36,'Enteric Data'!$A$90:$A$195,'Enteric Data'!$B$90:$B$195))</f>
        <v/>
      </c>
      <c r="C36" s="184">
        <v>0</v>
      </c>
      <c r="D36" s="184">
        <v>0</v>
      </c>
      <c r="E36" s="184">
        <v>0</v>
      </c>
      <c r="F36" s="184">
        <v>0</v>
      </c>
      <c r="G36" s="184">
        <v>0</v>
      </c>
      <c r="H36" s="184">
        <v>0</v>
      </c>
      <c r="I36" s="184">
        <v>0</v>
      </c>
      <c r="J36" s="184">
        <v>0</v>
      </c>
      <c r="K36" s="107"/>
      <c r="L36" s="184">
        <v>0</v>
      </c>
      <c r="M36" s="184">
        <v>0</v>
      </c>
      <c r="N36" s="184">
        <v>0</v>
      </c>
      <c r="O36" s="184">
        <v>0</v>
      </c>
      <c r="P36" s="184">
        <v>0</v>
      </c>
      <c r="Q36" s="184">
        <v>0</v>
      </c>
      <c r="R36" s="184">
        <v>0</v>
      </c>
      <c r="S36" s="184">
        <v>0</v>
      </c>
    </row>
    <row r="37" spans="1:19" s="98" customFormat="1" x14ac:dyDescent="0.3">
      <c r="C37" s="132"/>
      <c r="D37" s="132"/>
      <c r="E37" s="133"/>
      <c r="F37" s="133"/>
      <c r="G37" s="133"/>
      <c r="H37" s="133"/>
      <c r="I37" s="133"/>
      <c r="J37" s="133"/>
      <c r="K37" s="107"/>
      <c r="L37" s="132"/>
      <c r="M37" s="132"/>
      <c r="N37" s="133"/>
      <c r="O37" s="133"/>
      <c r="P37" s="133"/>
      <c r="Q37" s="133"/>
      <c r="R37" s="133"/>
      <c r="S37" s="133"/>
    </row>
    <row r="38" spans="1:19" x14ac:dyDescent="0.3">
      <c r="A38" s="98"/>
      <c r="C38" s="57"/>
      <c r="D38" s="64"/>
      <c r="E38" s="64"/>
      <c r="F38" s="57"/>
      <c r="G38" s="64"/>
      <c r="H38" s="64"/>
      <c r="I38" s="64"/>
      <c r="J38" s="64"/>
    </row>
    <row r="39" spans="1:19" s="98" customFormat="1" ht="18" customHeight="1" x14ac:dyDescent="0.3">
      <c r="A39" s="275" t="s">
        <v>755</v>
      </c>
      <c r="B39" s="276"/>
      <c r="C39" s="183">
        <v>5</v>
      </c>
      <c r="D39" t="s">
        <v>756</v>
      </c>
      <c r="H39"/>
      <c r="I39"/>
      <c r="J39"/>
    </row>
    <row r="40" spans="1:19" ht="15.75" customHeight="1" x14ac:dyDescent="0.3">
      <c r="A40" s="111" t="s">
        <v>264</v>
      </c>
      <c r="B40" s="111"/>
      <c r="C40" s="204">
        <f>LOOKUP(C11,'Enteric Data'!A43:A51,'Enteric Data'!C43:C51)</f>
        <v>500</v>
      </c>
      <c r="D40" t="s">
        <v>263</v>
      </c>
    </row>
  </sheetData>
  <sheetProtection password="CDB6" sheet="1" objects="1" scenarios="1" selectLockedCells="1"/>
  <dataConsolidate/>
  <mergeCells count="3">
    <mergeCell ref="C13:J13"/>
    <mergeCell ref="L13:S13"/>
    <mergeCell ref="A39:B39"/>
  </mergeCells>
  <dataValidations xWindow="495" yWindow="397" count="10">
    <dataValidation allowBlank="1" showInputMessage="1" showErrorMessage="1" prompt="High- or low-producing cows that have calved at least once and are used principally for milk production" sqref="C14 L14 C29 L29"/>
    <dataValidation type="whole" errorStyle="warning" allowBlank="1" showInputMessage="1" showErrorMessage="1" error="Enter a value between 0 and 100." sqref="L18:S18 C18:J18">
      <formula1>0</formula1>
      <formula2>100</formula2>
    </dataValidation>
    <dataValidation type="list" allowBlank="1" showInputMessage="1" showErrorMessage="1" sqref="C11">
      <formula1>#REF!</formula1>
    </dataValidation>
    <dataValidation allowBlank="1" showInputMessage="1" showErrorMessage="1" prompt="Cows used to produce offspring for meat OR cows used for more than one production purposes: milk/meat" sqref="D14"/>
    <dataValidation allowBlank="1" showInputMessage="1" showErrorMessage="1" prompt="Bulls used principally for breeding purposes" sqref="E14 N14"/>
    <dataValidation allowBlank="1" showInputMessage="1" showErrorMessage="1" prompt="Growing/fattening cattle post-weaning" sqref="H14 Q14"/>
    <dataValidation allowBlank="1" showInputMessage="1" showErrorMessage="1" prompt="Replacement dairy heifers" sqref="I14 R14"/>
    <dataValidation allowBlank="1" showInputMessage="1" showErrorMessage="1" prompt="Feedlot fed cattle on diets containing &gt;90% concentrates" sqref="J14"/>
    <dataValidation allowBlank="1" showInputMessage="1" showErrorMessage="1" prompt="Cows used to produce offspring for meat OR cows used for more than one production purpose: milk/meat" sqref="M14"/>
    <dataValidation allowBlank="1" showInputMessage="1" showErrorMessage="1" prompt="Feedlot-fed cattle on diets containing &gt;90% concentrates_x000a_" sqref="S14"/>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95" yWindow="397" count="2">
        <x14:dataValidation type="list" allowBlank="1" showInputMessage="1" showErrorMessage="1">
          <x14:formula1>
            <xm:f>'Enteric Data'!$A$90:$A$195</xm:f>
          </x14:formula1>
          <xm:sqref>A36</xm:sqref>
        </x14:dataValidation>
        <x14:dataValidation type="list" allowBlank="1" showInputMessage="1" showErrorMessage="1">
          <x14:formula1>
            <xm:f>'Enteric Data'!$A$90:$A$195</xm:f>
          </x14:formula1>
          <xm:sqref>A30:A35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4"/>
  <sheetViews>
    <sheetView showGridLines="0" workbookViewId="0">
      <selection activeCell="C18" sqref="C18"/>
    </sheetView>
  </sheetViews>
  <sheetFormatPr defaultRowHeight="14.4" x14ac:dyDescent="0.3"/>
  <cols>
    <col min="1" max="1" width="35.109375" customWidth="1"/>
    <col min="2" max="2" width="19.109375" customWidth="1"/>
    <col min="3" max="3" width="20.33203125" customWidth="1"/>
    <col min="4" max="4" width="15.88671875" customWidth="1"/>
    <col min="5" max="5" width="37.44140625" customWidth="1"/>
    <col min="6" max="6" width="10.44140625" customWidth="1"/>
  </cols>
  <sheetData>
    <row r="1" spans="1:8" ht="15.6" x14ac:dyDescent="0.3">
      <c r="A1" s="56" t="s">
        <v>4</v>
      </c>
      <c r="B1" s="98"/>
      <c r="C1" s="98"/>
      <c r="D1" s="98"/>
      <c r="E1" s="98"/>
      <c r="F1" s="98"/>
      <c r="G1" s="98"/>
      <c r="H1" s="98"/>
    </row>
    <row r="2" spans="1:8" x14ac:dyDescent="0.3">
      <c r="A2" s="98"/>
      <c r="B2" s="98"/>
      <c r="C2" s="98"/>
      <c r="D2" s="98"/>
      <c r="E2" s="98"/>
      <c r="F2" s="98"/>
      <c r="G2" s="98"/>
      <c r="H2" s="98"/>
    </row>
    <row r="3" spans="1:8" x14ac:dyDescent="0.3">
      <c r="A3" s="98"/>
      <c r="B3" s="98"/>
      <c r="C3" s="98"/>
      <c r="D3" s="98"/>
      <c r="E3" s="98"/>
      <c r="F3" s="98"/>
      <c r="G3" s="98"/>
      <c r="H3" s="98"/>
    </row>
    <row r="4" spans="1:8" x14ac:dyDescent="0.3">
      <c r="A4" s="98"/>
      <c r="B4" s="98"/>
      <c r="C4" s="98"/>
      <c r="D4" s="98"/>
      <c r="E4" s="98"/>
      <c r="F4" s="98"/>
      <c r="G4" s="98"/>
      <c r="H4" s="98"/>
    </row>
    <row r="5" spans="1:8" x14ac:dyDescent="0.3">
      <c r="A5" s="167" t="s">
        <v>184</v>
      </c>
      <c r="B5" s="171" t="s">
        <v>765</v>
      </c>
      <c r="C5" s="167"/>
      <c r="D5" s="107"/>
      <c r="E5" s="107"/>
      <c r="F5" s="107"/>
      <c r="G5" s="98"/>
      <c r="H5" s="98"/>
    </row>
    <row r="6" spans="1:8" ht="16.2" thickBot="1" x14ac:dyDescent="0.4">
      <c r="A6" s="167" t="s">
        <v>185</v>
      </c>
      <c r="B6" s="167" t="s">
        <v>757</v>
      </c>
      <c r="C6" s="167"/>
      <c r="D6" s="107"/>
      <c r="E6" s="107"/>
      <c r="F6" s="107"/>
      <c r="G6" s="98"/>
      <c r="H6" s="98"/>
    </row>
    <row r="7" spans="1:8" ht="17.399999999999999" thickBot="1" x14ac:dyDescent="0.4">
      <c r="A7" s="167" t="s">
        <v>725</v>
      </c>
      <c r="B7" s="161">
        <f>('Manure Data'!C12+'Manure Data'!C21+'Manure Data'!C25)-('Manure Data'!M12+'Manure Data'!M21+'Manure Data'!M25)</f>
        <v>402.06927849429348</v>
      </c>
      <c r="C7" s="167" t="s">
        <v>195</v>
      </c>
      <c r="F7" s="107"/>
      <c r="G7" s="87"/>
      <c r="H7" s="98"/>
    </row>
    <row r="9" spans="1:8" x14ac:dyDescent="0.3">
      <c r="A9" s="174" t="s">
        <v>726</v>
      </c>
    </row>
    <row r="10" spans="1:8" x14ac:dyDescent="0.3">
      <c r="A10" s="64" t="s">
        <v>692</v>
      </c>
      <c r="B10" s="187" t="s">
        <v>18</v>
      </c>
    </row>
    <row r="11" spans="1:8" s="98" customFormat="1" x14ac:dyDescent="0.3">
      <c r="A11" s="64" t="s">
        <v>575</v>
      </c>
      <c r="B11" s="183">
        <v>18</v>
      </c>
      <c r="C11" s="98" t="s">
        <v>756</v>
      </c>
    </row>
    <row r="13" spans="1:8" x14ac:dyDescent="0.3">
      <c r="A13" s="277" t="s">
        <v>186</v>
      </c>
      <c r="B13" s="277" t="s">
        <v>727</v>
      </c>
      <c r="C13" s="277"/>
      <c r="E13" s="64"/>
      <c r="F13" s="129"/>
      <c r="G13" s="64"/>
    </row>
    <row r="14" spans="1:8" x14ac:dyDescent="0.3">
      <c r="A14" s="277"/>
      <c r="B14" s="92" t="s">
        <v>30</v>
      </c>
      <c r="C14" s="164" t="s">
        <v>33</v>
      </c>
      <c r="E14" s="129"/>
      <c r="F14" s="129"/>
      <c r="G14" s="129"/>
    </row>
    <row r="15" spans="1:8" ht="15" customHeight="1" x14ac:dyDescent="0.3">
      <c r="A15" t="s">
        <v>188</v>
      </c>
      <c r="B15" s="183">
        <v>0</v>
      </c>
      <c r="C15" s="183">
        <v>0</v>
      </c>
      <c r="E15" s="134"/>
      <c r="F15" s="64"/>
      <c r="G15" s="64"/>
    </row>
    <row r="16" spans="1:8" ht="15" customHeight="1" x14ac:dyDescent="0.3">
      <c r="A16" t="s">
        <v>189</v>
      </c>
      <c r="B16" s="183">
        <v>0</v>
      </c>
      <c r="C16" s="183">
        <v>0</v>
      </c>
      <c r="E16" s="135"/>
      <c r="F16" s="64"/>
      <c r="G16" s="64"/>
    </row>
    <row r="17" spans="1:7" ht="15" customHeight="1" x14ac:dyDescent="0.3">
      <c r="A17" t="s">
        <v>187</v>
      </c>
      <c r="B17" s="183">
        <v>100</v>
      </c>
      <c r="C17" s="183">
        <v>0</v>
      </c>
      <c r="E17" s="135"/>
      <c r="F17" s="64"/>
      <c r="G17" s="64"/>
    </row>
    <row r="18" spans="1:7" ht="15" customHeight="1" x14ac:dyDescent="0.3">
      <c r="A18" t="s">
        <v>576</v>
      </c>
      <c r="B18" s="183">
        <v>0</v>
      </c>
      <c r="C18" s="183">
        <v>0</v>
      </c>
      <c r="E18" s="135"/>
      <c r="F18" s="64"/>
      <c r="G18" s="64"/>
    </row>
    <row r="19" spans="1:7" ht="15" customHeight="1" x14ac:dyDescent="0.3">
      <c r="A19" t="s">
        <v>577</v>
      </c>
      <c r="B19" s="183">
        <v>0</v>
      </c>
      <c r="C19" s="183">
        <v>0</v>
      </c>
      <c r="E19" s="135"/>
      <c r="F19" s="64"/>
      <c r="G19" s="64"/>
    </row>
    <row r="20" spans="1:7" ht="15" customHeight="1" x14ac:dyDescent="0.3">
      <c r="A20" t="s">
        <v>578</v>
      </c>
      <c r="B20" s="183">
        <v>0</v>
      </c>
      <c r="C20" s="183">
        <v>0</v>
      </c>
      <c r="E20" s="135"/>
      <c r="F20" s="64"/>
      <c r="G20" s="64"/>
    </row>
    <row r="21" spans="1:7" ht="15" customHeight="1" x14ac:dyDescent="0.3">
      <c r="A21" t="s">
        <v>190</v>
      </c>
      <c r="B21" s="183">
        <v>0</v>
      </c>
      <c r="C21" s="183">
        <v>0</v>
      </c>
      <c r="E21" s="135"/>
      <c r="F21" s="64"/>
      <c r="G21" s="64"/>
    </row>
    <row r="22" spans="1:7" ht="15" customHeight="1" x14ac:dyDescent="0.3">
      <c r="A22" t="s">
        <v>579</v>
      </c>
      <c r="B22" s="183">
        <v>0</v>
      </c>
      <c r="C22" s="183">
        <v>100</v>
      </c>
      <c r="E22" s="135"/>
      <c r="F22" s="64"/>
      <c r="G22" s="64"/>
    </row>
    <row r="23" spans="1:7" x14ac:dyDescent="0.3">
      <c r="A23" t="s">
        <v>580</v>
      </c>
      <c r="B23" s="183">
        <v>0</v>
      </c>
      <c r="C23" s="183">
        <v>0</v>
      </c>
    </row>
    <row r="24" spans="1:7" ht="15" customHeight="1" x14ac:dyDescent="0.3">
      <c r="A24" t="s">
        <v>191</v>
      </c>
      <c r="B24" s="183">
        <v>0</v>
      </c>
      <c r="C24" s="183">
        <v>0</v>
      </c>
    </row>
    <row r="25" spans="1:7" ht="15" customHeight="1" x14ac:dyDescent="0.3">
      <c r="A25" t="s">
        <v>458</v>
      </c>
      <c r="B25" s="183">
        <v>0</v>
      </c>
      <c r="C25" s="183">
        <v>0</v>
      </c>
    </row>
    <row r="26" spans="1:7" s="98" customFormat="1" ht="15" customHeight="1" x14ac:dyDescent="0.3">
      <c r="A26" s="98" t="s">
        <v>672</v>
      </c>
      <c r="B26" s="183">
        <v>0</v>
      </c>
      <c r="C26" s="183">
        <v>0</v>
      </c>
    </row>
    <row r="27" spans="1:7" ht="15" customHeight="1" x14ac:dyDescent="0.3">
      <c r="A27" t="s">
        <v>673</v>
      </c>
      <c r="B27" s="183">
        <v>0</v>
      </c>
      <c r="C27" s="183">
        <v>0</v>
      </c>
    </row>
    <row r="28" spans="1:7" ht="15" customHeight="1" x14ac:dyDescent="0.3">
      <c r="A28" t="s">
        <v>674</v>
      </c>
      <c r="B28" s="183">
        <v>0</v>
      </c>
      <c r="C28" s="183">
        <v>0</v>
      </c>
    </row>
    <row r="29" spans="1:7" s="98" customFormat="1" ht="15" customHeight="1" x14ac:dyDescent="0.3">
      <c r="A29" s="98" t="s">
        <v>675</v>
      </c>
      <c r="B29" s="183">
        <v>0</v>
      </c>
      <c r="C29" s="183">
        <v>0</v>
      </c>
    </row>
    <row r="30" spans="1:7" x14ac:dyDescent="0.3">
      <c r="A30" t="s">
        <v>581</v>
      </c>
      <c r="B30" s="183">
        <v>0</v>
      </c>
      <c r="C30" s="183">
        <v>0</v>
      </c>
    </row>
    <row r="31" spans="1:7" x14ac:dyDescent="0.3">
      <c r="A31" t="s">
        <v>192</v>
      </c>
      <c r="B31" s="183">
        <v>0</v>
      </c>
      <c r="C31" s="183">
        <v>0</v>
      </c>
    </row>
    <row r="32" spans="1:7" x14ac:dyDescent="0.3">
      <c r="A32" t="s">
        <v>193</v>
      </c>
      <c r="B32" s="183">
        <v>0</v>
      </c>
      <c r="C32" s="183">
        <v>0</v>
      </c>
    </row>
    <row r="33" spans="1:3" x14ac:dyDescent="0.3">
      <c r="A33" t="s">
        <v>194</v>
      </c>
      <c r="B33" s="183">
        <v>0</v>
      </c>
      <c r="C33" s="183">
        <v>0</v>
      </c>
    </row>
    <row r="34" spans="1:3" x14ac:dyDescent="0.3">
      <c r="A34" t="s">
        <v>582</v>
      </c>
      <c r="B34" s="183">
        <v>0</v>
      </c>
      <c r="C34" s="183">
        <v>0</v>
      </c>
    </row>
  </sheetData>
  <sheetProtection password="CDB6" sheet="1" objects="1" scenarios="1" selectLockedCells="1"/>
  <mergeCells count="2">
    <mergeCell ref="A13:A14"/>
    <mergeCell ref="B13:C13"/>
  </mergeCells>
  <dataValidations count="2">
    <dataValidation allowBlank="1" showInputMessage="1" showErrorMessage="1" prompt="High- or low-producing cows that have calved at least once and are used principally for milk production" sqref="E15"/>
    <dataValidation type="whole" allowBlank="1" showInputMessage="1" showErrorMessage="1" sqref="B15:C34">
      <formula1>0</formula1>
      <formula2>100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'Manure Data'!$B$61:$B$69</xm:f>
          </x14:formula1>
          <xm:sqref>B10</xm:sqref>
        </x14:dataValidation>
        <x14:dataValidation type="list" allowBlank="1" showInputMessage="1" showErrorMessage="1">
          <x14:formula1>
            <xm:f>'Manure Data'!$H$60:$H$78</xm:f>
          </x14:formula1>
          <xm:sqref>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showGridLines="0" workbookViewId="0">
      <selection activeCell="G14" sqref="G14"/>
    </sheetView>
  </sheetViews>
  <sheetFormatPr defaultRowHeight="14.4" x14ac:dyDescent="0.3"/>
  <cols>
    <col min="1" max="1" width="37.6640625" customWidth="1"/>
    <col min="2" max="2" width="12.6640625" customWidth="1"/>
    <col min="3" max="3" width="5.88671875" customWidth="1"/>
    <col min="4" max="4" width="17.5546875" style="98" customWidth="1"/>
    <col min="5" max="5" width="12.44140625" customWidth="1"/>
    <col min="6" max="6" width="6" customWidth="1"/>
    <col min="7" max="7" width="19.5546875" customWidth="1"/>
    <col min="9" max="9" width="7.6640625" customWidth="1"/>
    <col min="10" max="10" width="2.6640625" customWidth="1"/>
  </cols>
  <sheetData>
    <row r="1" spans="1:13" ht="15.6" x14ac:dyDescent="0.3">
      <c r="A1" s="97" t="s">
        <v>220</v>
      </c>
    </row>
    <row r="2" spans="1:13" x14ac:dyDescent="0.3">
      <c r="H2" s="197" t="s">
        <v>773</v>
      </c>
      <c r="I2" s="198"/>
      <c r="J2" s="198"/>
      <c r="K2" s="198"/>
      <c r="L2" s="198"/>
      <c r="M2" s="198"/>
    </row>
    <row r="3" spans="1:13" s="98" customFormat="1" x14ac:dyDescent="0.3">
      <c r="H3" s="198"/>
      <c r="I3" s="198"/>
      <c r="J3" s="198"/>
      <c r="K3" s="198"/>
      <c r="L3" s="198"/>
      <c r="M3" s="198"/>
    </row>
    <row r="4" spans="1:13" s="98" customFormat="1" x14ac:dyDescent="0.3">
      <c r="H4" s="201"/>
      <c r="I4" s="198" t="s">
        <v>768</v>
      </c>
      <c r="J4" s="199" t="s">
        <v>769</v>
      </c>
      <c r="K4" s="200" t="str">
        <f>IF(H4="","",H4*0.453592)</f>
        <v/>
      </c>
      <c r="L4" s="198" t="s">
        <v>772</v>
      </c>
      <c r="M4" s="198"/>
    </row>
    <row r="5" spans="1:13" x14ac:dyDescent="0.3">
      <c r="A5" s="175" t="s">
        <v>184</v>
      </c>
      <c r="B5" s="171" t="s">
        <v>763</v>
      </c>
      <c r="C5" s="175"/>
      <c r="D5" s="175"/>
      <c r="E5" s="167"/>
      <c r="F5" s="107"/>
      <c r="H5" s="201"/>
      <c r="I5" s="198" t="s">
        <v>770</v>
      </c>
      <c r="J5" s="199" t="s">
        <v>769</v>
      </c>
      <c r="K5" s="200" t="str">
        <f>IF(H5="","",H5*0.404686)</f>
        <v/>
      </c>
      <c r="L5" s="198" t="s">
        <v>771</v>
      </c>
      <c r="M5" s="198"/>
    </row>
    <row r="6" spans="1:13" ht="16.2" thickBot="1" x14ac:dyDescent="0.4">
      <c r="A6" s="175" t="s">
        <v>185</v>
      </c>
      <c r="B6" s="175" t="s">
        <v>760</v>
      </c>
      <c r="C6" s="175"/>
      <c r="D6" s="175"/>
      <c r="E6" s="167"/>
      <c r="F6" s="107"/>
      <c r="H6" s="198"/>
      <c r="I6" s="198"/>
      <c r="J6" s="199"/>
      <c r="K6" s="198"/>
      <c r="L6" s="198"/>
      <c r="M6" s="198"/>
    </row>
    <row r="7" spans="1:13" ht="17.399999999999999" thickBot="1" x14ac:dyDescent="0.4">
      <c r="A7" s="175" t="s">
        <v>173</v>
      </c>
      <c r="B7" s="176">
        <f>'Fertilizer Data'!B18-'Fertilizer Data'!F18</f>
        <v>-193.37017200040202</v>
      </c>
      <c r="C7" s="175" t="s">
        <v>746</v>
      </c>
      <c r="D7" s="175"/>
      <c r="E7" s="167"/>
      <c r="F7" s="107"/>
    </row>
    <row r="8" spans="1:13" s="98" customFormat="1" x14ac:dyDescent="0.3">
      <c r="A8" s="107"/>
      <c r="B8" s="133"/>
      <c r="C8" s="107"/>
      <c r="D8" s="107"/>
      <c r="E8" s="107"/>
      <c r="F8" s="107"/>
    </row>
    <row r="9" spans="1:13" s="98" customFormat="1" ht="15" thickBot="1" x14ac:dyDescent="0.35">
      <c r="A9" s="174" t="s">
        <v>726</v>
      </c>
      <c r="B9" s="107"/>
      <c r="C9" s="107"/>
      <c r="D9" s="107"/>
      <c r="E9" s="107"/>
      <c r="F9" s="107"/>
    </row>
    <row r="10" spans="1:13" s="98" customFormat="1" x14ac:dyDescent="0.3">
      <c r="A10" s="107"/>
      <c r="B10" s="284" t="s">
        <v>30</v>
      </c>
      <c r="C10" s="285"/>
      <c r="D10" s="286"/>
      <c r="E10" s="281" t="s">
        <v>33</v>
      </c>
      <c r="F10" s="282"/>
      <c r="G10" s="283"/>
    </row>
    <row r="11" spans="1:13" ht="46.8" x14ac:dyDescent="0.3">
      <c r="A11" s="145" t="s">
        <v>699</v>
      </c>
      <c r="B11" s="163" t="s">
        <v>744</v>
      </c>
      <c r="C11" s="140" t="s">
        <v>695</v>
      </c>
      <c r="D11" s="147" t="s">
        <v>712</v>
      </c>
      <c r="E11" s="163" t="s">
        <v>744</v>
      </c>
      <c r="F11" s="140" t="s">
        <v>695</v>
      </c>
      <c r="G11" s="147" t="s">
        <v>712</v>
      </c>
    </row>
    <row r="12" spans="1:13" s="98" customFormat="1" ht="15.6" x14ac:dyDescent="0.3">
      <c r="A12" s="93" t="s">
        <v>177</v>
      </c>
      <c r="B12" s="192">
        <v>15000</v>
      </c>
      <c r="C12" s="193">
        <v>82</v>
      </c>
      <c r="D12" s="188">
        <v>5000</v>
      </c>
      <c r="E12" s="192">
        <v>15000</v>
      </c>
      <c r="F12" s="193">
        <v>82</v>
      </c>
      <c r="G12" s="188">
        <v>5000</v>
      </c>
    </row>
    <row r="13" spans="1:13" s="98" customFormat="1" ht="15.6" x14ac:dyDescent="0.3">
      <c r="A13" s="93" t="s">
        <v>178</v>
      </c>
      <c r="B13" s="192"/>
      <c r="C13" s="193">
        <v>21</v>
      </c>
      <c r="D13" s="188">
        <v>5000</v>
      </c>
      <c r="E13" s="192"/>
      <c r="F13" s="193">
        <v>21</v>
      </c>
      <c r="G13" s="188">
        <v>5000</v>
      </c>
    </row>
    <row r="14" spans="1:13" s="98" customFormat="1" x14ac:dyDescent="0.3">
      <c r="A14" s="93" t="s">
        <v>179</v>
      </c>
      <c r="B14" s="192"/>
      <c r="C14" s="193">
        <v>11</v>
      </c>
      <c r="D14" s="188">
        <v>5000</v>
      </c>
      <c r="E14" s="192"/>
      <c r="F14" s="193">
        <v>11</v>
      </c>
      <c r="G14" s="188">
        <v>5000</v>
      </c>
    </row>
    <row r="15" spans="1:13" s="98" customFormat="1" x14ac:dyDescent="0.3">
      <c r="A15" s="93" t="s">
        <v>180</v>
      </c>
      <c r="B15" s="192"/>
      <c r="C15" s="193">
        <v>18</v>
      </c>
      <c r="D15" s="188">
        <v>5000</v>
      </c>
      <c r="E15" s="192"/>
      <c r="F15" s="193">
        <v>18</v>
      </c>
      <c r="G15" s="188">
        <v>5000</v>
      </c>
    </row>
    <row r="16" spans="1:13" ht="15.6" x14ac:dyDescent="0.3">
      <c r="A16" s="93" t="s">
        <v>181</v>
      </c>
      <c r="B16" s="192"/>
      <c r="C16" s="193">
        <v>33.5</v>
      </c>
      <c r="D16" s="188">
        <v>5000</v>
      </c>
      <c r="E16" s="192"/>
      <c r="F16" s="193">
        <v>34</v>
      </c>
      <c r="G16" s="188">
        <v>5000</v>
      </c>
    </row>
    <row r="17" spans="1:9" s="98" customFormat="1" ht="15" thickBot="1" x14ac:dyDescent="0.35">
      <c r="A17" s="93" t="s">
        <v>182</v>
      </c>
      <c r="B17" s="194"/>
      <c r="C17" s="195">
        <v>26</v>
      </c>
      <c r="D17" s="189">
        <v>5000</v>
      </c>
      <c r="E17" s="194"/>
      <c r="F17" s="195">
        <v>26</v>
      </c>
      <c r="G17" s="189">
        <v>5000</v>
      </c>
    </row>
    <row r="18" spans="1:9" s="98" customFormat="1" ht="15" thickBot="1" x14ac:dyDescent="0.35">
      <c r="A18" s="146" t="s">
        <v>701</v>
      </c>
      <c r="B18" s="64"/>
      <c r="C18" s="64"/>
      <c r="D18" s="148"/>
      <c r="E18" s="64"/>
      <c r="F18" s="64"/>
      <c r="G18" s="64"/>
    </row>
    <row r="19" spans="1:9" s="98" customFormat="1" ht="15" thickBot="1" x14ac:dyDescent="0.35">
      <c r="A19" s="93" t="s">
        <v>702</v>
      </c>
      <c r="B19" s="278">
        <v>0</v>
      </c>
      <c r="C19" s="279"/>
      <c r="D19" s="190">
        <v>5000</v>
      </c>
      <c r="E19" s="280">
        <v>0</v>
      </c>
      <c r="F19" s="279"/>
      <c r="G19" s="191">
        <v>5000</v>
      </c>
    </row>
    <row r="20" spans="1:9" s="98" customFormat="1" ht="15" thickBot="1" x14ac:dyDescent="0.35">
      <c r="A20" s="145" t="s">
        <v>700</v>
      </c>
      <c r="B20" s="57"/>
      <c r="C20" s="57"/>
      <c r="D20" s="57"/>
      <c r="E20" s="57"/>
      <c r="F20" s="57"/>
    </row>
    <row r="21" spans="1:9" s="98" customFormat="1" ht="15" thickBot="1" x14ac:dyDescent="0.35">
      <c r="A21" s="107" t="s">
        <v>698</v>
      </c>
      <c r="B21" s="287">
        <v>100</v>
      </c>
      <c r="C21" s="288"/>
      <c r="D21" s="289"/>
      <c r="E21" s="287">
        <v>100</v>
      </c>
      <c r="F21" s="288"/>
      <c r="G21" s="289"/>
    </row>
    <row r="22" spans="1:9" s="98" customFormat="1" x14ac:dyDescent="0.3">
      <c r="A22" s="64"/>
      <c r="B22" s="64"/>
      <c r="C22" s="64"/>
      <c r="D22" s="64"/>
      <c r="E22" s="64"/>
      <c r="F22" s="64"/>
      <c r="G22" s="64"/>
      <c r="H22" s="64"/>
      <c r="I22" s="64"/>
    </row>
    <row r="23" spans="1:9" s="98" customFormat="1" x14ac:dyDescent="0.3">
      <c r="A23" s="139"/>
      <c r="B23" s="64"/>
      <c r="C23" s="64"/>
      <c r="D23" s="64"/>
      <c r="E23" s="64"/>
      <c r="F23" s="64"/>
      <c r="G23" s="64"/>
      <c r="H23" s="64"/>
      <c r="I23" s="64"/>
    </row>
    <row r="24" spans="1:9" x14ac:dyDescent="0.3">
      <c r="A24" s="64"/>
      <c r="B24" s="64"/>
      <c r="C24" s="64"/>
      <c r="D24" s="64"/>
      <c r="E24" s="64"/>
      <c r="F24" s="64"/>
      <c r="G24" s="64"/>
      <c r="H24" s="64"/>
      <c r="I24" s="64"/>
    </row>
    <row r="25" spans="1:9" x14ac:dyDescent="0.3">
      <c r="A25" s="64"/>
      <c r="B25" s="64"/>
      <c r="C25" s="64"/>
      <c r="D25" s="64"/>
      <c r="E25" s="64"/>
      <c r="F25" s="64"/>
      <c r="G25" s="64"/>
      <c r="H25" s="64"/>
      <c r="I25" s="64"/>
    </row>
    <row r="26" spans="1:9" x14ac:dyDescent="0.3">
      <c r="A26" s="64"/>
      <c r="B26" s="64"/>
      <c r="C26" s="64"/>
      <c r="D26" s="64"/>
      <c r="E26" s="64"/>
      <c r="F26" s="64"/>
      <c r="G26" s="64"/>
      <c r="H26" s="64"/>
      <c r="I26" s="64"/>
    </row>
    <row r="27" spans="1:9" x14ac:dyDescent="0.3">
      <c r="A27" s="64"/>
      <c r="B27" s="64"/>
      <c r="C27" s="64"/>
      <c r="D27" s="64"/>
      <c r="E27" s="64"/>
      <c r="F27" s="64"/>
      <c r="G27" s="64"/>
      <c r="H27" s="64"/>
      <c r="I27" s="64"/>
    </row>
    <row r="28" spans="1:9" x14ac:dyDescent="0.3">
      <c r="A28" s="139"/>
      <c r="B28" s="64"/>
      <c r="C28" s="64"/>
      <c r="D28" s="64"/>
      <c r="E28" s="64"/>
      <c r="F28" s="64"/>
      <c r="G28" s="64"/>
      <c r="H28" s="64"/>
      <c r="I28" s="64"/>
    </row>
    <row r="29" spans="1:9" x14ac:dyDescent="0.3">
      <c r="A29" s="64"/>
      <c r="B29" s="64"/>
      <c r="C29" s="64"/>
      <c r="D29" s="64"/>
      <c r="E29" s="64"/>
      <c r="F29" s="64"/>
      <c r="G29" s="64"/>
      <c r="H29" s="64"/>
      <c r="I29" s="64"/>
    </row>
  </sheetData>
  <sheetProtection password="CDB6" sheet="1" objects="1" scenarios="1" selectLockedCells="1"/>
  <mergeCells count="6">
    <mergeCell ref="B19:C19"/>
    <mergeCell ref="E19:F19"/>
    <mergeCell ref="E10:G10"/>
    <mergeCell ref="B10:D10"/>
    <mergeCell ref="B21:D21"/>
    <mergeCell ref="E21:G21"/>
  </mergeCells>
  <dataValidations count="1">
    <dataValidation type="whole" allowBlank="1" showInputMessage="1" showErrorMessage="1" sqref="B21:D21">
      <formula1>0</formula1>
      <formula2>100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2"/>
  <sheetViews>
    <sheetView showGridLines="0" workbookViewId="0">
      <selection activeCell="C16" sqref="C16"/>
    </sheetView>
  </sheetViews>
  <sheetFormatPr defaultRowHeight="14.4" x14ac:dyDescent="0.3"/>
  <cols>
    <col min="1" max="1" width="29.33203125" customWidth="1"/>
    <col min="2" max="3" width="13.5546875" customWidth="1"/>
  </cols>
  <sheetData>
    <row r="1" spans="1:8" ht="15.6" x14ac:dyDescent="0.3">
      <c r="A1" s="97" t="s">
        <v>4</v>
      </c>
      <c r="B1" s="94"/>
      <c r="C1" s="94"/>
      <c r="D1" s="94"/>
      <c r="E1" s="94"/>
    </row>
    <row r="3" spans="1:8" s="98" customFormat="1" x14ac:dyDescent="0.3"/>
    <row r="5" spans="1:8" x14ac:dyDescent="0.3">
      <c r="A5" s="106"/>
    </row>
    <row r="6" spans="1:8" ht="15.6" x14ac:dyDescent="0.3">
      <c r="A6" s="165" t="s">
        <v>184</v>
      </c>
      <c r="B6" s="178" t="s">
        <v>764</v>
      </c>
      <c r="C6" s="167"/>
      <c r="D6" s="167"/>
      <c r="E6" s="167"/>
      <c r="F6" s="107"/>
      <c r="G6" s="107"/>
      <c r="H6" s="107"/>
    </row>
    <row r="7" spans="1:8" ht="15.6" x14ac:dyDescent="0.35">
      <c r="A7" s="177" t="s">
        <v>724</v>
      </c>
      <c r="B7" s="173" t="s">
        <v>745</v>
      </c>
      <c r="C7" s="167"/>
      <c r="D7" s="167"/>
      <c r="E7" s="167"/>
      <c r="F7" s="107"/>
      <c r="G7" s="107"/>
      <c r="H7" s="107"/>
    </row>
    <row r="8" spans="1:8" ht="16.8" x14ac:dyDescent="0.35">
      <c r="A8" s="168" t="s">
        <v>173</v>
      </c>
      <c r="B8" s="162">
        <f>('Fossil Fuel Data'!H17-'Fossil Fuel Data'!I17)/1000</f>
        <v>153.01197401062498</v>
      </c>
      <c r="C8" s="167" t="s">
        <v>195</v>
      </c>
      <c r="D8" s="167"/>
      <c r="E8" s="167"/>
      <c r="F8" s="107"/>
      <c r="G8" s="107"/>
      <c r="H8" s="107"/>
    </row>
    <row r="10" spans="1:8" x14ac:dyDescent="0.3">
      <c r="A10" s="96" t="s">
        <v>196</v>
      </c>
      <c r="B10" s="94"/>
      <c r="C10" s="94"/>
      <c r="D10" s="94"/>
      <c r="E10" s="94"/>
    </row>
    <row r="11" spans="1:8" x14ac:dyDescent="0.3">
      <c r="A11" s="94"/>
      <c r="B11" s="95" t="s">
        <v>30</v>
      </c>
      <c r="C11" s="95" t="s">
        <v>33</v>
      </c>
      <c r="D11" s="95" t="s">
        <v>197</v>
      </c>
      <c r="E11" s="94"/>
    </row>
    <row r="12" spans="1:8" x14ac:dyDescent="0.3">
      <c r="A12" s="94" t="s">
        <v>198</v>
      </c>
      <c r="B12" s="184">
        <v>0</v>
      </c>
      <c r="C12" s="184">
        <v>0</v>
      </c>
      <c r="D12" s="183" t="s">
        <v>201</v>
      </c>
      <c r="E12" s="67" t="s">
        <v>723</v>
      </c>
    </row>
    <row r="13" spans="1:8" x14ac:dyDescent="0.3">
      <c r="A13" s="94" t="s">
        <v>200</v>
      </c>
      <c r="B13" s="184">
        <v>0</v>
      </c>
      <c r="C13" s="184">
        <v>0</v>
      </c>
      <c r="D13" s="183" t="s">
        <v>201</v>
      </c>
      <c r="E13" s="94"/>
    </row>
    <row r="14" spans="1:8" x14ac:dyDescent="0.3">
      <c r="A14" s="94" t="s">
        <v>202</v>
      </c>
      <c r="B14" s="184">
        <v>0</v>
      </c>
      <c r="C14" s="184">
        <v>0</v>
      </c>
      <c r="D14" s="183" t="s">
        <v>201</v>
      </c>
      <c r="E14" s="94"/>
    </row>
    <row r="15" spans="1:8" x14ac:dyDescent="0.3">
      <c r="A15" s="94" t="s">
        <v>203</v>
      </c>
      <c r="B15" s="184">
        <v>0</v>
      </c>
      <c r="C15" s="184">
        <v>0</v>
      </c>
      <c r="D15" s="183" t="s">
        <v>201</v>
      </c>
      <c r="E15" s="94"/>
    </row>
    <row r="16" spans="1:8" x14ac:dyDescent="0.3">
      <c r="A16" s="94" t="s">
        <v>175</v>
      </c>
      <c r="B16" s="184">
        <v>20000</v>
      </c>
      <c r="C16" s="184">
        <v>5000</v>
      </c>
      <c r="D16" s="183" t="s">
        <v>201</v>
      </c>
      <c r="E16" s="94"/>
    </row>
    <row r="17" spans="1:10" x14ac:dyDescent="0.3">
      <c r="A17" s="94" t="s">
        <v>204</v>
      </c>
      <c r="B17" s="184">
        <v>0</v>
      </c>
      <c r="C17" s="184">
        <v>0</v>
      </c>
      <c r="D17" s="183" t="s">
        <v>201</v>
      </c>
      <c r="E17" s="94"/>
    </row>
    <row r="18" spans="1:10" x14ac:dyDescent="0.3">
      <c r="A18" s="94" t="s">
        <v>176</v>
      </c>
      <c r="B18" s="184">
        <v>0</v>
      </c>
      <c r="C18" s="184">
        <v>0</v>
      </c>
      <c r="D18" s="183" t="s">
        <v>201</v>
      </c>
      <c r="E18" s="94"/>
      <c r="F18" s="94"/>
      <c r="G18" s="94"/>
      <c r="H18" s="94"/>
      <c r="I18" s="94"/>
      <c r="J18" s="94"/>
    </row>
    <row r="19" spans="1:10" x14ac:dyDescent="0.3">
      <c r="A19" s="94" t="s">
        <v>174</v>
      </c>
      <c r="B19" s="184">
        <v>10000</v>
      </c>
      <c r="C19" s="184">
        <v>8000</v>
      </c>
      <c r="D19" s="183" t="s">
        <v>201</v>
      </c>
      <c r="E19" s="94"/>
      <c r="F19" s="94"/>
      <c r="G19" s="94"/>
      <c r="H19" s="94"/>
      <c r="I19" s="94"/>
      <c r="J19" s="94"/>
    </row>
    <row r="20" spans="1:10" x14ac:dyDescent="0.3">
      <c r="A20" s="94" t="s">
        <v>205</v>
      </c>
      <c r="B20" s="184">
        <v>0</v>
      </c>
      <c r="C20" s="184">
        <v>0</v>
      </c>
      <c r="D20" s="183" t="s">
        <v>201</v>
      </c>
      <c r="E20" s="94"/>
      <c r="F20" s="94"/>
      <c r="G20" s="94"/>
      <c r="H20" s="94"/>
      <c r="I20" s="94"/>
      <c r="J20" s="94"/>
    </row>
    <row r="21" spans="1:10" x14ac:dyDescent="0.3">
      <c r="A21" s="94" t="s">
        <v>206</v>
      </c>
      <c r="B21" s="184">
        <v>0</v>
      </c>
      <c r="C21" s="184">
        <v>0</v>
      </c>
      <c r="D21" s="183" t="s">
        <v>201</v>
      </c>
      <c r="E21" s="94"/>
      <c r="F21" s="94"/>
      <c r="G21" s="94"/>
      <c r="H21" s="94"/>
      <c r="I21" s="94"/>
      <c r="J21" s="94"/>
    </row>
    <row r="22" spans="1:10" x14ac:dyDescent="0.3">
      <c r="A22" s="94" t="s">
        <v>207</v>
      </c>
      <c r="B22" s="184">
        <v>0</v>
      </c>
      <c r="C22" s="184">
        <v>0</v>
      </c>
      <c r="D22" s="183" t="s">
        <v>201</v>
      </c>
      <c r="E22" s="94"/>
      <c r="F22" s="94"/>
      <c r="G22" s="94"/>
      <c r="H22" s="94"/>
      <c r="I22" s="94"/>
      <c r="J22" s="94"/>
    </row>
  </sheetData>
  <sheetProtection password="CDB6" sheet="1" objects="1" scenarios="1" selectLockedCells="1"/>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'Fossil Fuel Data'!$F$2:$F$3</xm:f>
          </x14:formula1>
          <xm:sqref>D12:D22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AP91"/>
  <sheetViews>
    <sheetView topLeftCell="J1" workbookViewId="0">
      <selection activeCell="M36" sqref="M36"/>
    </sheetView>
  </sheetViews>
  <sheetFormatPr defaultRowHeight="14.4" x14ac:dyDescent="0.3"/>
  <cols>
    <col min="1" max="1" width="38.6640625" customWidth="1"/>
    <col min="2" max="2" width="19.88671875" customWidth="1"/>
    <col min="3" max="3" width="24.44140625" customWidth="1"/>
    <col min="4" max="4" width="22.88671875" customWidth="1"/>
    <col min="5" max="5" width="17.44140625" customWidth="1"/>
    <col min="6" max="6" width="23" customWidth="1"/>
    <col min="7" max="7" width="17.44140625" customWidth="1"/>
    <col min="8" max="9" width="17.44140625" style="98" customWidth="1"/>
    <col min="10" max="10" width="36.44140625" customWidth="1"/>
    <col min="11" max="11" width="25.33203125" customWidth="1"/>
    <col min="13" max="13" width="33.109375" customWidth="1"/>
    <col min="14" max="14" width="7.88671875" customWidth="1"/>
    <col min="15" max="15" width="9.5546875" customWidth="1"/>
    <col min="16" max="16" width="8.5546875" customWidth="1"/>
    <col min="17" max="18" width="6.5546875" customWidth="1"/>
    <col min="19" max="19" width="7.33203125" customWidth="1"/>
    <col min="20" max="20" width="5.88671875" customWidth="1"/>
    <col min="21" max="21" width="9.5546875" customWidth="1"/>
    <col min="22" max="22" width="10.109375" customWidth="1"/>
    <col min="29" max="29" width="8.33203125" customWidth="1"/>
    <col min="30" max="30" width="7.5546875" customWidth="1"/>
    <col min="31" max="31" width="7.109375" customWidth="1"/>
    <col min="34" max="34" width="37.6640625" customWidth="1"/>
    <col min="35" max="35" width="16.6640625" customWidth="1"/>
    <col min="36" max="36" width="21.5546875" customWidth="1"/>
    <col min="37" max="37" width="12.5546875" customWidth="1"/>
  </cols>
  <sheetData>
    <row r="1" spans="1:42" ht="58.2" thickBot="1" x14ac:dyDescent="0.35">
      <c r="A1" s="65" t="s">
        <v>36</v>
      </c>
      <c r="B1" s="65" t="s">
        <v>47</v>
      </c>
      <c r="C1" s="65" t="s">
        <v>34</v>
      </c>
      <c r="D1" s="65" t="s">
        <v>154</v>
      </c>
      <c r="E1" s="65" t="s">
        <v>155</v>
      </c>
      <c r="F1" s="65" t="s">
        <v>150</v>
      </c>
      <c r="G1" s="65" t="s">
        <v>148</v>
      </c>
      <c r="H1" s="100" t="s">
        <v>800</v>
      </c>
      <c r="I1" s="100" t="s">
        <v>895</v>
      </c>
      <c r="M1" s="65" t="s">
        <v>81</v>
      </c>
      <c r="N1" s="70" t="s">
        <v>82</v>
      </c>
      <c r="O1" s="70" t="s">
        <v>73</v>
      </c>
      <c r="P1" s="70" t="s">
        <v>74</v>
      </c>
      <c r="Q1" s="70" t="s">
        <v>75</v>
      </c>
      <c r="R1" s="70" t="s">
        <v>59</v>
      </c>
      <c r="S1" s="70" t="s">
        <v>60</v>
      </c>
      <c r="T1" s="70" t="s">
        <v>61</v>
      </c>
      <c r="U1" s="70" t="s">
        <v>62</v>
      </c>
      <c r="V1" s="70" t="s">
        <v>65</v>
      </c>
      <c r="W1" s="70" t="s">
        <v>76</v>
      </c>
      <c r="X1" s="70" t="s">
        <v>63</v>
      </c>
      <c r="Y1" s="70" t="s">
        <v>69</v>
      </c>
      <c r="Z1" s="70" t="s">
        <v>77</v>
      </c>
      <c r="AA1" s="70" t="s">
        <v>78</v>
      </c>
      <c r="AB1" s="70" t="s">
        <v>79</v>
      </c>
      <c r="AC1" s="70" t="s">
        <v>66</v>
      </c>
      <c r="AD1" s="70" t="s">
        <v>80</v>
      </c>
      <c r="AE1" s="70" t="s">
        <v>68</v>
      </c>
      <c r="AF1" s="70" t="s">
        <v>143</v>
      </c>
      <c r="AH1" s="70" t="s">
        <v>894</v>
      </c>
      <c r="AI1" s="70" t="s">
        <v>893</v>
      </c>
      <c r="AJ1" s="70"/>
      <c r="AK1" s="70"/>
      <c r="AL1" s="70"/>
      <c r="AM1" s="70"/>
      <c r="AN1" s="70"/>
      <c r="AO1" s="70"/>
      <c r="AP1" s="70"/>
    </row>
    <row r="2" spans="1:42" ht="15" thickBot="1" x14ac:dyDescent="0.35">
      <c r="A2" t="s">
        <v>37</v>
      </c>
      <c r="B2" t="s">
        <v>742</v>
      </c>
      <c r="C2" t="s">
        <v>144</v>
      </c>
      <c r="D2" t="s">
        <v>153</v>
      </c>
      <c r="E2" t="s">
        <v>156</v>
      </c>
      <c r="F2" t="s">
        <v>54</v>
      </c>
      <c r="G2" t="s">
        <v>149</v>
      </c>
      <c r="H2" s="98" t="s">
        <v>801</v>
      </c>
      <c r="I2" s="98" t="s">
        <v>23</v>
      </c>
      <c r="J2" s="75" t="s">
        <v>53</v>
      </c>
      <c r="K2" s="81" t="str">
        <f>BIOTIC!B12&amp;"/"&amp;BIOTIC!B13</f>
        <v>Warm Temperate Moist/Low Activity Clay</v>
      </c>
      <c r="M2" t="s">
        <v>137</v>
      </c>
      <c r="N2">
        <v>68</v>
      </c>
      <c r="O2">
        <v>0.8</v>
      </c>
      <c r="P2">
        <v>0.82</v>
      </c>
      <c r="Q2">
        <v>1</v>
      </c>
      <c r="R2">
        <v>1</v>
      </c>
      <c r="S2">
        <v>1.08</v>
      </c>
      <c r="T2">
        <v>1.1499999999999999</v>
      </c>
      <c r="U2">
        <v>1.1399999999999999</v>
      </c>
      <c r="V2">
        <v>1</v>
      </c>
      <c r="W2">
        <v>0.95</v>
      </c>
      <c r="X2">
        <v>0.7</v>
      </c>
      <c r="Y2">
        <v>0.92</v>
      </c>
      <c r="Z2">
        <v>1</v>
      </c>
      <c r="AA2">
        <v>1.44</v>
      </c>
      <c r="AB2">
        <v>1.1100000000000001</v>
      </c>
      <c r="AC2">
        <v>1</v>
      </c>
      <c r="AD2">
        <v>1</v>
      </c>
      <c r="AE2">
        <v>1.1100000000000001</v>
      </c>
      <c r="AF2">
        <v>8.5</v>
      </c>
      <c r="AH2" s="211" t="s">
        <v>812</v>
      </c>
      <c r="AI2" s="216">
        <v>1.1000000000000001</v>
      </c>
      <c r="AJ2" s="126"/>
      <c r="AK2" s="98"/>
      <c r="AL2" s="126"/>
      <c r="AM2" s="126"/>
      <c r="AN2" s="126"/>
      <c r="AO2" s="126"/>
      <c r="AP2" s="126"/>
    </row>
    <row r="3" spans="1:42" ht="15" thickBot="1" x14ac:dyDescent="0.35">
      <c r="A3" t="s">
        <v>38</v>
      </c>
      <c r="B3" t="s">
        <v>743</v>
      </c>
      <c r="C3" t="s">
        <v>166</v>
      </c>
      <c r="D3" t="s">
        <v>145</v>
      </c>
      <c r="E3" t="s">
        <v>157</v>
      </c>
      <c r="F3" t="s">
        <v>151</v>
      </c>
      <c r="G3" t="s">
        <v>156</v>
      </c>
      <c r="H3" s="98" t="s">
        <v>802</v>
      </c>
      <c r="I3" s="98" t="s">
        <v>25</v>
      </c>
      <c r="J3" s="82"/>
      <c r="K3" s="76"/>
      <c r="M3" t="s">
        <v>138</v>
      </c>
      <c r="N3">
        <v>0</v>
      </c>
      <c r="O3">
        <v>0.8</v>
      </c>
      <c r="P3">
        <v>0.82</v>
      </c>
      <c r="Q3">
        <v>1</v>
      </c>
      <c r="R3">
        <v>1</v>
      </c>
      <c r="S3">
        <v>1.08</v>
      </c>
      <c r="T3">
        <v>1.1499999999999999</v>
      </c>
      <c r="U3">
        <v>1.1399999999999999</v>
      </c>
      <c r="V3">
        <v>1</v>
      </c>
      <c r="W3">
        <v>0.95</v>
      </c>
      <c r="X3">
        <v>0.7</v>
      </c>
      <c r="Y3">
        <v>0.92</v>
      </c>
      <c r="Z3">
        <v>1</v>
      </c>
      <c r="AA3">
        <v>1.44</v>
      </c>
      <c r="AB3">
        <v>1.1100000000000001</v>
      </c>
      <c r="AC3">
        <v>1</v>
      </c>
      <c r="AD3">
        <v>1</v>
      </c>
      <c r="AE3">
        <v>1.1100000000000001</v>
      </c>
      <c r="AF3">
        <v>8.5</v>
      </c>
      <c r="AH3" s="211" t="s">
        <v>811</v>
      </c>
      <c r="AI3" s="216">
        <v>1.1000000000000001</v>
      </c>
      <c r="AJ3" s="126"/>
      <c r="AK3" s="98"/>
      <c r="AL3" s="126"/>
      <c r="AM3" s="126"/>
      <c r="AN3" s="126"/>
      <c r="AO3" s="126"/>
      <c r="AP3" s="126"/>
    </row>
    <row r="4" spans="1:42" ht="15" thickBot="1" x14ac:dyDescent="0.35">
      <c r="A4" t="s">
        <v>39</v>
      </c>
      <c r="B4" t="s">
        <v>48</v>
      </c>
      <c r="C4" t="s">
        <v>167</v>
      </c>
      <c r="D4" t="s">
        <v>146</v>
      </c>
      <c r="E4" t="s">
        <v>55</v>
      </c>
      <c r="F4" t="s">
        <v>152</v>
      </c>
      <c r="G4" t="s">
        <v>158</v>
      </c>
      <c r="I4" s="98" t="s">
        <v>20</v>
      </c>
      <c r="J4" s="83" t="s">
        <v>15</v>
      </c>
      <c r="K4" s="77">
        <f>LOOKUP(K2,M2:M61,N2:N61)</f>
        <v>63</v>
      </c>
      <c r="M4" t="s">
        <v>139</v>
      </c>
      <c r="N4">
        <v>10</v>
      </c>
      <c r="O4">
        <v>0.8</v>
      </c>
      <c r="P4">
        <v>0.82</v>
      </c>
      <c r="Q4">
        <v>1</v>
      </c>
      <c r="R4">
        <v>1</v>
      </c>
      <c r="S4">
        <v>1.08</v>
      </c>
      <c r="T4">
        <v>1.1499999999999999</v>
      </c>
      <c r="U4">
        <v>1.1399999999999999</v>
      </c>
      <c r="V4">
        <v>1</v>
      </c>
      <c r="W4">
        <v>0.95</v>
      </c>
      <c r="X4">
        <v>0.7</v>
      </c>
      <c r="Y4">
        <v>0.92</v>
      </c>
      <c r="Z4">
        <v>1</v>
      </c>
      <c r="AA4">
        <v>1.44</v>
      </c>
      <c r="AB4">
        <v>1.1100000000000001</v>
      </c>
      <c r="AC4">
        <v>1</v>
      </c>
      <c r="AD4">
        <v>1</v>
      </c>
      <c r="AE4">
        <v>1.1100000000000001</v>
      </c>
      <c r="AF4">
        <v>8.5</v>
      </c>
      <c r="AH4" s="211" t="s">
        <v>810</v>
      </c>
      <c r="AI4" s="216">
        <v>4</v>
      </c>
      <c r="AJ4" s="126"/>
      <c r="AK4" s="98"/>
      <c r="AL4" s="126"/>
      <c r="AM4" s="126"/>
      <c r="AN4" s="126"/>
      <c r="AO4" s="126"/>
      <c r="AP4" s="126"/>
    </row>
    <row r="5" spans="1:42" x14ac:dyDescent="0.3">
      <c r="A5" t="s">
        <v>40</v>
      </c>
      <c r="B5" t="s">
        <v>49</v>
      </c>
      <c r="D5" t="s">
        <v>147</v>
      </c>
      <c r="F5" t="s">
        <v>55</v>
      </c>
      <c r="G5" t="s">
        <v>159</v>
      </c>
      <c r="I5" s="64" t="s">
        <v>26</v>
      </c>
      <c r="J5" s="84"/>
      <c r="K5" s="78"/>
      <c r="M5" t="s">
        <v>140</v>
      </c>
      <c r="N5">
        <v>117</v>
      </c>
      <c r="O5">
        <v>0.8</v>
      </c>
      <c r="P5">
        <v>0.82</v>
      </c>
      <c r="Q5">
        <v>1</v>
      </c>
      <c r="R5">
        <v>1</v>
      </c>
      <c r="S5">
        <v>1.08</v>
      </c>
      <c r="T5">
        <v>1.1499999999999999</v>
      </c>
      <c r="U5">
        <v>1.1399999999999999</v>
      </c>
      <c r="V5">
        <v>1</v>
      </c>
      <c r="W5">
        <v>0.95</v>
      </c>
      <c r="X5">
        <v>0.7</v>
      </c>
      <c r="Y5">
        <v>0.92</v>
      </c>
      <c r="Z5">
        <v>1</v>
      </c>
      <c r="AA5">
        <v>1.44</v>
      </c>
      <c r="AB5">
        <v>1.1100000000000001</v>
      </c>
      <c r="AC5">
        <v>1</v>
      </c>
      <c r="AD5">
        <v>1</v>
      </c>
      <c r="AE5">
        <v>1.1100000000000001</v>
      </c>
      <c r="AF5">
        <v>8.5</v>
      </c>
      <c r="AH5" s="209" t="s">
        <v>809</v>
      </c>
      <c r="AI5" s="216">
        <v>4</v>
      </c>
      <c r="AJ5" s="209"/>
      <c r="AK5" s="57"/>
      <c r="AL5" s="126"/>
      <c r="AM5" s="126"/>
      <c r="AN5" s="126"/>
      <c r="AO5" s="126"/>
      <c r="AP5" s="126"/>
    </row>
    <row r="6" spans="1:42" ht="15" thickBot="1" x14ac:dyDescent="0.35">
      <c r="A6" t="s">
        <v>41</v>
      </c>
      <c r="B6" t="s">
        <v>50</v>
      </c>
      <c r="D6" t="s">
        <v>55</v>
      </c>
      <c r="G6" t="s">
        <v>55</v>
      </c>
      <c r="I6" s="64" t="s">
        <v>22</v>
      </c>
      <c r="J6" s="84"/>
      <c r="K6" s="78"/>
      <c r="M6" t="s">
        <v>141</v>
      </c>
      <c r="N6">
        <v>20</v>
      </c>
      <c r="O6">
        <v>0.8</v>
      </c>
      <c r="P6">
        <v>0.82</v>
      </c>
      <c r="Q6">
        <v>1</v>
      </c>
      <c r="R6">
        <v>1</v>
      </c>
      <c r="S6">
        <v>1.08</v>
      </c>
      <c r="T6">
        <v>1.1499999999999999</v>
      </c>
      <c r="U6">
        <v>1.1399999999999999</v>
      </c>
      <c r="V6">
        <v>1</v>
      </c>
      <c r="W6">
        <v>0.95</v>
      </c>
      <c r="X6">
        <v>0.7</v>
      </c>
      <c r="Y6">
        <v>0.92</v>
      </c>
      <c r="Z6">
        <v>1</v>
      </c>
      <c r="AA6">
        <v>1.44</v>
      </c>
      <c r="AB6">
        <v>1.1100000000000001</v>
      </c>
      <c r="AC6">
        <v>1</v>
      </c>
      <c r="AD6">
        <v>1</v>
      </c>
      <c r="AE6">
        <v>1.1100000000000001</v>
      </c>
      <c r="AF6">
        <v>8.5</v>
      </c>
      <c r="AH6" s="57" t="s">
        <v>806</v>
      </c>
      <c r="AI6" s="208">
        <v>2.4</v>
      </c>
      <c r="AJ6" s="208"/>
      <c r="AK6" s="208"/>
      <c r="AL6" s="126"/>
      <c r="AM6" s="126"/>
      <c r="AN6" s="126"/>
      <c r="AO6" s="126"/>
      <c r="AP6" s="126"/>
    </row>
    <row r="7" spans="1:42" x14ac:dyDescent="0.3">
      <c r="A7" t="s">
        <v>42</v>
      </c>
      <c r="B7" t="s">
        <v>51</v>
      </c>
      <c r="I7" s="64" t="s">
        <v>24</v>
      </c>
      <c r="J7" s="85" t="s">
        <v>57</v>
      </c>
      <c r="K7" s="79">
        <f>LOOKUP(K2,M2:M61,O2:O61)</f>
        <v>0.69</v>
      </c>
      <c r="M7" t="s">
        <v>142</v>
      </c>
      <c r="N7">
        <v>146</v>
      </c>
      <c r="O7">
        <v>0.8</v>
      </c>
      <c r="P7">
        <v>0.82</v>
      </c>
      <c r="Q7">
        <v>1</v>
      </c>
      <c r="R7">
        <v>1</v>
      </c>
      <c r="S7">
        <v>1.08</v>
      </c>
      <c r="T7">
        <v>1.1499999999999999</v>
      </c>
      <c r="U7">
        <v>1.1399999999999999</v>
      </c>
      <c r="V7">
        <v>1</v>
      </c>
      <c r="W7">
        <v>0.95</v>
      </c>
      <c r="X7">
        <v>0.7</v>
      </c>
      <c r="Y7">
        <v>0.92</v>
      </c>
      <c r="Z7">
        <v>1</v>
      </c>
      <c r="AA7">
        <v>1.44</v>
      </c>
      <c r="AB7">
        <v>1.1100000000000001</v>
      </c>
      <c r="AC7">
        <v>1</v>
      </c>
      <c r="AD7">
        <v>1</v>
      </c>
      <c r="AE7">
        <v>1.1100000000000001</v>
      </c>
      <c r="AF7">
        <v>8.5</v>
      </c>
      <c r="AH7" s="98" t="s">
        <v>805</v>
      </c>
      <c r="AI7" s="113">
        <v>5</v>
      </c>
      <c r="AJ7" s="210"/>
      <c r="AK7" s="64"/>
      <c r="AL7" s="126"/>
      <c r="AM7" s="126"/>
      <c r="AN7" s="126"/>
      <c r="AO7" s="126"/>
      <c r="AP7" s="126"/>
    </row>
    <row r="8" spans="1:42" x14ac:dyDescent="0.3">
      <c r="A8" t="s">
        <v>43</v>
      </c>
      <c r="I8" s="64" t="s">
        <v>18</v>
      </c>
      <c r="J8" s="84" t="s">
        <v>58</v>
      </c>
      <c r="K8" s="78">
        <f>LOOKUP(K2,M2:M61,P2:P61)</f>
        <v>0.82</v>
      </c>
      <c r="M8" t="s">
        <v>131</v>
      </c>
      <c r="N8">
        <v>68</v>
      </c>
      <c r="O8">
        <v>0.8</v>
      </c>
      <c r="P8">
        <v>0.82</v>
      </c>
      <c r="Q8">
        <v>1</v>
      </c>
      <c r="R8">
        <v>1</v>
      </c>
      <c r="S8">
        <v>1.08</v>
      </c>
      <c r="T8">
        <v>1.1499999999999999</v>
      </c>
      <c r="U8">
        <v>1.1399999999999999</v>
      </c>
      <c r="V8">
        <v>1</v>
      </c>
      <c r="W8">
        <v>0.95</v>
      </c>
      <c r="X8">
        <v>0.7</v>
      </c>
      <c r="Y8">
        <v>0.92</v>
      </c>
      <c r="Z8">
        <v>1</v>
      </c>
      <c r="AA8">
        <v>1.44</v>
      </c>
      <c r="AB8">
        <v>1.1100000000000001</v>
      </c>
      <c r="AC8">
        <v>1</v>
      </c>
      <c r="AD8">
        <v>1</v>
      </c>
      <c r="AE8">
        <v>1.1100000000000001</v>
      </c>
      <c r="AF8">
        <v>8.5</v>
      </c>
      <c r="AH8" s="98" t="s">
        <v>803</v>
      </c>
      <c r="AI8" s="113">
        <f>AVERAGE(2,5)</f>
        <v>3.5</v>
      </c>
      <c r="AJ8" s="210"/>
      <c r="AK8" s="209"/>
      <c r="AL8" s="126"/>
      <c r="AM8" s="126"/>
      <c r="AN8" s="126"/>
      <c r="AO8" s="126"/>
      <c r="AP8" s="126"/>
    </row>
    <row r="9" spans="1:42" ht="15" thickBot="1" x14ac:dyDescent="0.35">
      <c r="A9" t="s">
        <v>44</v>
      </c>
      <c r="I9" s="64" t="s">
        <v>21</v>
      </c>
      <c r="J9" s="86" t="s">
        <v>56</v>
      </c>
      <c r="K9" s="80">
        <f>LOOKUP(K2,M2:M61,Q2:Q61)</f>
        <v>1</v>
      </c>
      <c r="M9" t="s">
        <v>132</v>
      </c>
      <c r="N9">
        <v>0</v>
      </c>
      <c r="O9">
        <v>0.8</v>
      </c>
      <c r="P9">
        <v>0.82</v>
      </c>
      <c r="Q9">
        <v>1</v>
      </c>
      <c r="R9">
        <v>1</v>
      </c>
      <c r="S9">
        <v>1.08</v>
      </c>
      <c r="T9">
        <v>1.1499999999999999</v>
      </c>
      <c r="U9">
        <v>1.1399999999999999</v>
      </c>
      <c r="V9">
        <v>1</v>
      </c>
      <c r="W9">
        <v>0.95</v>
      </c>
      <c r="X9">
        <v>0.7</v>
      </c>
      <c r="Y9">
        <v>0.92</v>
      </c>
      <c r="Z9">
        <v>1</v>
      </c>
      <c r="AA9">
        <v>1.44</v>
      </c>
      <c r="AB9">
        <v>1.1100000000000001</v>
      </c>
      <c r="AC9">
        <v>1</v>
      </c>
      <c r="AD9">
        <v>1</v>
      </c>
      <c r="AE9">
        <v>1.1100000000000001</v>
      </c>
      <c r="AF9">
        <v>8.5</v>
      </c>
      <c r="AH9" s="98" t="s">
        <v>804</v>
      </c>
      <c r="AI9" s="113">
        <v>10</v>
      </c>
      <c r="AJ9" s="57"/>
      <c r="AK9" s="58"/>
      <c r="AN9" s="126"/>
    </row>
    <row r="10" spans="1:42" ht="15" thickBot="1" x14ac:dyDescent="0.35">
      <c r="A10" t="s">
        <v>45</v>
      </c>
      <c r="I10" s="64" t="s">
        <v>19</v>
      </c>
      <c r="J10" s="84"/>
      <c r="K10" s="78"/>
      <c r="M10" t="s">
        <v>133</v>
      </c>
      <c r="N10">
        <v>10</v>
      </c>
      <c r="O10">
        <v>0.8</v>
      </c>
      <c r="P10">
        <v>0.82</v>
      </c>
      <c r="Q10">
        <v>1</v>
      </c>
      <c r="R10">
        <v>1</v>
      </c>
      <c r="S10">
        <v>1.08</v>
      </c>
      <c r="T10">
        <v>1.1499999999999999</v>
      </c>
      <c r="U10">
        <v>1.1399999999999999</v>
      </c>
      <c r="V10">
        <v>1</v>
      </c>
      <c r="W10">
        <v>0.95</v>
      </c>
      <c r="X10">
        <v>0.7</v>
      </c>
      <c r="Y10">
        <v>0.92</v>
      </c>
      <c r="Z10">
        <v>1</v>
      </c>
      <c r="AA10">
        <v>1.44</v>
      </c>
      <c r="AB10">
        <v>1.1100000000000001</v>
      </c>
      <c r="AC10">
        <v>1</v>
      </c>
      <c r="AD10">
        <v>1</v>
      </c>
      <c r="AE10">
        <v>1.1100000000000001</v>
      </c>
      <c r="AF10">
        <v>8.5</v>
      </c>
      <c r="AG10" s="63"/>
      <c r="AH10" s="64" t="s">
        <v>808</v>
      </c>
      <c r="AI10" s="216">
        <v>4</v>
      </c>
      <c r="AJ10" s="57"/>
      <c r="AK10" s="58"/>
    </row>
    <row r="11" spans="1:42" x14ac:dyDescent="0.3">
      <c r="A11" t="s">
        <v>46</v>
      </c>
      <c r="J11" s="85" t="s">
        <v>59</v>
      </c>
      <c r="K11" s="79">
        <f>LOOKUP(K2,M2:M61,R2:R61)</f>
        <v>1</v>
      </c>
      <c r="M11" t="s">
        <v>134</v>
      </c>
      <c r="N11">
        <v>117</v>
      </c>
      <c r="O11">
        <v>0.8</v>
      </c>
      <c r="P11">
        <v>0.82</v>
      </c>
      <c r="Q11">
        <v>1</v>
      </c>
      <c r="R11">
        <v>1</v>
      </c>
      <c r="S11">
        <v>1.08</v>
      </c>
      <c r="T11">
        <v>1.1499999999999999</v>
      </c>
      <c r="U11">
        <v>1.1399999999999999</v>
      </c>
      <c r="V11">
        <v>1</v>
      </c>
      <c r="W11">
        <v>0.95</v>
      </c>
      <c r="X11">
        <v>0.7</v>
      </c>
      <c r="Y11">
        <v>0.92</v>
      </c>
      <c r="Z11">
        <v>1</v>
      </c>
      <c r="AA11">
        <v>1.44</v>
      </c>
      <c r="AB11">
        <v>1.1100000000000001</v>
      </c>
      <c r="AC11">
        <v>1</v>
      </c>
      <c r="AD11">
        <v>1</v>
      </c>
      <c r="AE11">
        <v>1.1100000000000001</v>
      </c>
      <c r="AF11">
        <v>8.5</v>
      </c>
      <c r="AG11" s="58"/>
      <c r="AH11" s="208" t="s">
        <v>807</v>
      </c>
      <c r="AI11" s="208">
        <v>4</v>
      </c>
      <c r="AJ11" s="57"/>
      <c r="AK11" s="58"/>
    </row>
    <row r="12" spans="1:42" x14ac:dyDescent="0.3">
      <c r="J12" s="84" t="s">
        <v>60</v>
      </c>
      <c r="K12" s="78">
        <f>LOOKUP(K2,M2:M61,S2:S61)</f>
        <v>1.08</v>
      </c>
      <c r="M12" t="s">
        <v>135</v>
      </c>
      <c r="N12">
        <v>20</v>
      </c>
      <c r="O12">
        <v>0.8</v>
      </c>
      <c r="P12">
        <v>0.82</v>
      </c>
      <c r="Q12">
        <v>1</v>
      </c>
      <c r="R12">
        <v>1</v>
      </c>
      <c r="S12">
        <v>1.08</v>
      </c>
      <c r="T12">
        <v>1.1499999999999999</v>
      </c>
      <c r="U12">
        <v>1.1399999999999999</v>
      </c>
      <c r="V12">
        <v>1</v>
      </c>
      <c r="W12">
        <v>0.95</v>
      </c>
      <c r="X12">
        <v>0.7</v>
      </c>
      <c r="Y12">
        <v>0.92</v>
      </c>
      <c r="Z12">
        <v>1</v>
      </c>
      <c r="AA12">
        <v>1.44</v>
      </c>
      <c r="AB12">
        <v>1.1100000000000001</v>
      </c>
      <c r="AC12">
        <v>1</v>
      </c>
      <c r="AD12">
        <v>1</v>
      </c>
      <c r="AE12">
        <v>1.1100000000000001</v>
      </c>
      <c r="AF12">
        <v>8.5</v>
      </c>
      <c r="AG12" s="59"/>
      <c r="AH12" s="213" t="s">
        <v>822</v>
      </c>
      <c r="AI12" s="218">
        <v>1.1000000000000001</v>
      </c>
      <c r="AJ12" s="57"/>
      <c r="AK12" s="58"/>
    </row>
    <row r="13" spans="1:42" ht="15" thickBot="1" x14ac:dyDescent="0.35">
      <c r="J13" s="86" t="s">
        <v>61</v>
      </c>
      <c r="K13" s="80">
        <f>LOOKUP(K2,M2:M61,T2:T61)</f>
        <v>1.1499999999999999</v>
      </c>
      <c r="M13" t="s">
        <v>136</v>
      </c>
      <c r="N13">
        <v>146</v>
      </c>
      <c r="O13">
        <v>0.8</v>
      </c>
      <c r="P13">
        <v>0.82</v>
      </c>
      <c r="Q13">
        <v>1</v>
      </c>
      <c r="R13">
        <v>1</v>
      </c>
      <c r="S13">
        <v>1.08</v>
      </c>
      <c r="T13">
        <v>1.1499999999999999</v>
      </c>
      <c r="U13">
        <v>1.1399999999999999</v>
      </c>
      <c r="V13">
        <v>1</v>
      </c>
      <c r="W13">
        <v>0.95</v>
      </c>
      <c r="X13">
        <v>0.7</v>
      </c>
      <c r="Y13">
        <v>0.92</v>
      </c>
      <c r="Z13">
        <v>1</v>
      </c>
      <c r="AA13">
        <v>1.44</v>
      </c>
      <c r="AB13">
        <v>1.1100000000000001</v>
      </c>
      <c r="AC13">
        <v>1</v>
      </c>
      <c r="AD13">
        <v>1</v>
      </c>
      <c r="AE13">
        <v>1.1100000000000001</v>
      </c>
      <c r="AF13">
        <v>8.5</v>
      </c>
      <c r="AG13" s="59"/>
      <c r="AH13" s="213" t="s">
        <v>821</v>
      </c>
      <c r="AI13" s="218">
        <v>1.1000000000000001</v>
      </c>
      <c r="AJ13" s="57"/>
      <c r="AK13" s="58"/>
    </row>
    <row r="14" spans="1:42" ht="15" thickBot="1" x14ac:dyDescent="0.35">
      <c r="J14" s="84"/>
      <c r="K14" s="78"/>
      <c r="M14" t="s">
        <v>125</v>
      </c>
      <c r="N14">
        <v>50</v>
      </c>
      <c r="O14">
        <v>0.8</v>
      </c>
      <c r="P14">
        <v>0.93</v>
      </c>
      <c r="Q14">
        <v>1</v>
      </c>
      <c r="R14">
        <v>1</v>
      </c>
      <c r="S14">
        <v>1.02</v>
      </c>
      <c r="T14">
        <v>1.1000000000000001</v>
      </c>
      <c r="U14">
        <v>1.1399999999999999</v>
      </c>
      <c r="V14">
        <v>1</v>
      </c>
      <c r="W14">
        <v>0.95</v>
      </c>
      <c r="X14">
        <v>0.7</v>
      </c>
      <c r="Y14">
        <v>0.95</v>
      </c>
      <c r="Z14">
        <v>1</v>
      </c>
      <c r="AA14">
        <v>1.37</v>
      </c>
      <c r="AB14">
        <v>1.04</v>
      </c>
      <c r="AC14">
        <v>1</v>
      </c>
      <c r="AD14">
        <v>1</v>
      </c>
      <c r="AE14">
        <v>1.1100000000000001</v>
      </c>
      <c r="AF14">
        <v>6.5</v>
      </c>
      <c r="AG14" s="59"/>
      <c r="AH14" s="213" t="s">
        <v>820</v>
      </c>
      <c r="AI14" s="218">
        <v>4</v>
      </c>
      <c r="AJ14" s="57"/>
      <c r="AK14" s="58"/>
    </row>
    <row r="15" spans="1:42" x14ac:dyDescent="0.3">
      <c r="J15" s="85" t="s">
        <v>62</v>
      </c>
      <c r="K15" s="79">
        <f>LOOKUP(K2,M2:M61,U2:U61)</f>
        <v>1.1399999999999999</v>
      </c>
      <c r="M15" t="s">
        <v>126</v>
      </c>
      <c r="N15">
        <v>33</v>
      </c>
      <c r="O15">
        <v>0.8</v>
      </c>
      <c r="P15">
        <v>0.93</v>
      </c>
      <c r="Q15">
        <v>1</v>
      </c>
      <c r="R15">
        <v>1</v>
      </c>
      <c r="S15">
        <v>1.02</v>
      </c>
      <c r="T15">
        <v>1.1000000000000001</v>
      </c>
      <c r="U15">
        <v>1.1399999999999999</v>
      </c>
      <c r="V15">
        <v>1</v>
      </c>
      <c r="W15">
        <v>0.95</v>
      </c>
      <c r="X15">
        <v>0.7</v>
      </c>
      <c r="Y15">
        <v>0.95</v>
      </c>
      <c r="Z15">
        <v>1</v>
      </c>
      <c r="AA15">
        <v>1.37</v>
      </c>
      <c r="AB15">
        <v>1.04</v>
      </c>
      <c r="AC15">
        <v>1</v>
      </c>
      <c r="AD15">
        <v>1</v>
      </c>
      <c r="AE15">
        <v>1.1100000000000001</v>
      </c>
      <c r="AF15">
        <v>6.5</v>
      </c>
      <c r="AG15" s="59"/>
      <c r="AH15" s="213" t="s">
        <v>819</v>
      </c>
      <c r="AI15" s="218">
        <v>4</v>
      </c>
      <c r="AJ15" s="59"/>
      <c r="AK15" s="58"/>
    </row>
    <row r="16" spans="1:42" x14ac:dyDescent="0.3">
      <c r="B16" s="65" t="s">
        <v>30</v>
      </c>
      <c r="C16" s="65" t="s">
        <v>33</v>
      </c>
      <c r="J16" s="84" t="s">
        <v>65</v>
      </c>
      <c r="K16" s="78">
        <f>LOOKUP(K2,M2:M61,V2:V61)</f>
        <v>1</v>
      </c>
      <c r="M16" t="s">
        <v>127</v>
      </c>
      <c r="N16">
        <v>34</v>
      </c>
      <c r="O16">
        <v>0.8</v>
      </c>
      <c r="P16">
        <v>0.93</v>
      </c>
      <c r="Q16">
        <v>1</v>
      </c>
      <c r="R16">
        <v>1</v>
      </c>
      <c r="S16">
        <v>1.02</v>
      </c>
      <c r="T16">
        <v>1.1000000000000001</v>
      </c>
      <c r="U16">
        <v>1.1399999999999999</v>
      </c>
      <c r="V16">
        <v>1</v>
      </c>
      <c r="W16">
        <v>0.95</v>
      </c>
      <c r="X16">
        <v>0.7</v>
      </c>
      <c r="Y16">
        <v>0.95</v>
      </c>
      <c r="Z16">
        <v>1</v>
      </c>
      <c r="AA16">
        <v>1.37</v>
      </c>
      <c r="AB16">
        <v>1.04</v>
      </c>
      <c r="AC16">
        <v>1</v>
      </c>
      <c r="AD16">
        <v>1</v>
      </c>
      <c r="AE16">
        <v>1.1100000000000001</v>
      </c>
      <c r="AF16">
        <v>6.5</v>
      </c>
      <c r="AG16" s="59"/>
      <c r="AH16" s="212" t="s">
        <v>816</v>
      </c>
      <c r="AI16" s="215">
        <f>AVERAGE(6,7)</f>
        <v>6.5</v>
      </c>
      <c r="AJ16" s="61"/>
      <c r="AK16" s="61"/>
    </row>
    <row r="17" spans="1:37" x14ac:dyDescent="0.3">
      <c r="A17" t="s">
        <v>161</v>
      </c>
      <c r="B17" t="str">
        <f>BIOTIC!B18</f>
        <v>Long Term Cultivated Crop</v>
      </c>
      <c r="C17" t="str">
        <f>BIOTIC!C18</f>
        <v>Grassland</v>
      </c>
      <c r="J17" s="84" t="s">
        <v>64</v>
      </c>
      <c r="K17" s="78">
        <f>LOOKUP(K2,M2:M61,W2:W61)</f>
        <v>0.95</v>
      </c>
      <c r="M17" t="s">
        <v>128</v>
      </c>
      <c r="N17">
        <v>0</v>
      </c>
      <c r="O17">
        <v>0.8</v>
      </c>
      <c r="P17">
        <v>0.93</v>
      </c>
      <c r="Q17">
        <v>1</v>
      </c>
      <c r="R17">
        <v>1</v>
      </c>
      <c r="S17">
        <v>1.02</v>
      </c>
      <c r="T17">
        <v>1.1000000000000001</v>
      </c>
      <c r="U17">
        <v>1.1399999999999999</v>
      </c>
      <c r="V17">
        <v>1</v>
      </c>
      <c r="W17">
        <v>0.95</v>
      </c>
      <c r="X17">
        <v>0.7</v>
      </c>
      <c r="Y17">
        <v>0.95</v>
      </c>
      <c r="Z17">
        <v>1</v>
      </c>
      <c r="AA17">
        <v>1.37</v>
      </c>
      <c r="AB17">
        <v>1.04</v>
      </c>
      <c r="AC17">
        <v>1</v>
      </c>
      <c r="AD17">
        <v>1</v>
      </c>
      <c r="AE17">
        <v>1.1100000000000001</v>
      </c>
      <c r="AF17">
        <v>6.5</v>
      </c>
      <c r="AG17" s="59"/>
      <c r="AH17" s="211" t="s">
        <v>815</v>
      </c>
      <c r="AI17" s="217">
        <f>AVERAGE(9,11)</f>
        <v>10</v>
      </c>
      <c r="AJ17" s="58"/>
      <c r="AK17" s="58"/>
    </row>
    <row r="18" spans="1:37" ht="15" thickBot="1" x14ac:dyDescent="0.35">
      <c r="A18" t="s">
        <v>162</v>
      </c>
      <c r="B18" t="str">
        <f>BIOTIC!B19</f>
        <v>N/A</v>
      </c>
      <c r="C18" t="str">
        <f>BIOTIC!C19</f>
        <v>Improved</v>
      </c>
      <c r="J18" s="86" t="s">
        <v>63</v>
      </c>
      <c r="K18" s="80">
        <f>LOOKUP(K2,M2:M61,X2:X61)</f>
        <v>0.7</v>
      </c>
      <c r="M18" t="s">
        <v>129</v>
      </c>
      <c r="N18">
        <v>20</v>
      </c>
      <c r="O18">
        <v>0.8</v>
      </c>
      <c r="P18">
        <v>0.93</v>
      </c>
      <c r="Q18">
        <v>1</v>
      </c>
      <c r="R18">
        <v>1</v>
      </c>
      <c r="S18">
        <v>1.02</v>
      </c>
      <c r="T18">
        <v>1.1000000000000001</v>
      </c>
      <c r="U18">
        <v>1.1399999999999999</v>
      </c>
      <c r="V18">
        <v>1</v>
      </c>
      <c r="W18">
        <v>0.95</v>
      </c>
      <c r="X18">
        <v>0.7</v>
      </c>
      <c r="Y18">
        <v>0.95</v>
      </c>
      <c r="Z18">
        <v>1</v>
      </c>
      <c r="AA18">
        <v>1.37</v>
      </c>
      <c r="AB18">
        <v>1.04</v>
      </c>
      <c r="AC18">
        <v>1</v>
      </c>
      <c r="AD18">
        <v>1</v>
      </c>
      <c r="AE18">
        <v>1.1100000000000001</v>
      </c>
      <c r="AF18">
        <v>6.5</v>
      </c>
      <c r="AG18" s="59"/>
      <c r="AH18" s="211" t="s">
        <v>813</v>
      </c>
      <c r="AI18" s="217">
        <v>5.25</v>
      </c>
      <c r="AJ18" s="61"/>
      <c r="AK18" s="61"/>
    </row>
    <row r="19" spans="1:37" ht="15" thickBot="1" x14ac:dyDescent="0.35">
      <c r="A19" t="s">
        <v>163</v>
      </c>
      <c r="B19" t="str">
        <f>BIOTIC!B20</f>
        <v>Medium</v>
      </c>
      <c r="C19" t="str">
        <f>BIOTIC!C20</f>
        <v>High</v>
      </c>
      <c r="J19" s="84"/>
      <c r="K19" s="78"/>
      <c r="M19" t="s">
        <v>130</v>
      </c>
      <c r="N19">
        <v>87</v>
      </c>
      <c r="O19">
        <v>0.8</v>
      </c>
      <c r="P19">
        <v>0.93</v>
      </c>
      <c r="Q19">
        <v>1</v>
      </c>
      <c r="R19">
        <v>1</v>
      </c>
      <c r="S19">
        <v>1.02</v>
      </c>
      <c r="T19">
        <v>1.1000000000000001</v>
      </c>
      <c r="U19">
        <v>1.1399999999999999</v>
      </c>
      <c r="V19">
        <v>1</v>
      </c>
      <c r="W19">
        <v>0.95</v>
      </c>
      <c r="X19">
        <v>0.7</v>
      </c>
      <c r="Y19">
        <v>0.95</v>
      </c>
      <c r="Z19">
        <v>1</v>
      </c>
      <c r="AA19">
        <v>1.37</v>
      </c>
      <c r="AB19">
        <v>1.04</v>
      </c>
      <c r="AC19">
        <v>1</v>
      </c>
      <c r="AD19">
        <v>1</v>
      </c>
      <c r="AE19">
        <v>1.1100000000000001</v>
      </c>
      <c r="AF19">
        <v>6.5</v>
      </c>
      <c r="AG19" s="59"/>
      <c r="AH19" s="211" t="s">
        <v>814</v>
      </c>
      <c r="AI19" s="217">
        <f>AVERAGE(7,13)</f>
        <v>10</v>
      </c>
      <c r="AJ19" s="58"/>
      <c r="AK19" s="58"/>
    </row>
    <row r="20" spans="1:37" x14ac:dyDescent="0.3">
      <c r="A20" t="s">
        <v>164</v>
      </c>
      <c r="B20" t="str">
        <f>BIOTIC!B21</f>
        <v>Full Tillage</v>
      </c>
      <c r="C20" t="str">
        <f>BIOTIC!C21</f>
        <v>N/A</v>
      </c>
      <c r="J20" s="85" t="s">
        <v>69</v>
      </c>
      <c r="K20" s="79">
        <f>LOOKUP(K2,M2:M61,Y2:Y61)</f>
        <v>0.92</v>
      </c>
      <c r="M20" t="s">
        <v>119</v>
      </c>
      <c r="N20">
        <v>95</v>
      </c>
      <c r="O20">
        <v>0.69</v>
      </c>
      <c r="P20">
        <v>0.82</v>
      </c>
      <c r="Q20">
        <v>1</v>
      </c>
      <c r="R20">
        <v>1</v>
      </c>
      <c r="S20">
        <v>1.08</v>
      </c>
      <c r="T20">
        <v>1.1499999999999999</v>
      </c>
      <c r="U20">
        <v>1.1399999999999999</v>
      </c>
      <c r="V20">
        <v>1</v>
      </c>
      <c r="W20">
        <v>0.95</v>
      </c>
      <c r="X20">
        <v>0.7</v>
      </c>
      <c r="Y20">
        <v>0.92</v>
      </c>
      <c r="Z20">
        <v>1</v>
      </c>
      <c r="AA20">
        <v>1.44</v>
      </c>
      <c r="AB20">
        <v>1.1100000000000001</v>
      </c>
      <c r="AC20">
        <v>1</v>
      </c>
      <c r="AD20">
        <v>1</v>
      </c>
      <c r="AE20">
        <v>1.1100000000000001</v>
      </c>
      <c r="AF20">
        <v>13.6</v>
      </c>
      <c r="AG20" s="59"/>
      <c r="AH20" s="213" t="s">
        <v>818</v>
      </c>
      <c r="AI20" s="218">
        <v>4</v>
      </c>
      <c r="AJ20" s="58"/>
      <c r="AK20" s="62"/>
    </row>
    <row r="21" spans="1:37" x14ac:dyDescent="0.3">
      <c r="A21" t="s">
        <v>165</v>
      </c>
      <c r="B21" t="str">
        <f>BIOTIC!B22</f>
        <v>Medium</v>
      </c>
      <c r="C21" t="str">
        <f>BIOTIC!C22</f>
        <v>N/A</v>
      </c>
      <c r="J21" s="84" t="s">
        <v>70</v>
      </c>
      <c r="K21" s="78">
        <f>LOOKUP(K2,M2:M61,Z2:Z61)</f>
        <v>1</v>
      </c>
      <c r="M21" t="s">
        <v>120</v>
      </c>
      <c r="N21">
        <v>85</v>
      </c>
      <c r="O21">
        <v>0.69</v>
      </c>
      <c r="P21">
        <v>0.82</v>
      </c>
      <c r="Q21">
        <v>1</v>
      </c>
      <c r="R21">
        <v>1</v>
      </c>
      <c r="S21">
        <v>1.08</v>
      </c>
      <c r="T21">
        <v>1.1499999999999999</v>
      </c>
      <c r="U21">
        <v>1.1399999999999999</v>
      </c>
      <c r="V21">
        <v>1</v>
      </c>
      <c r="W21">
        <v>0.95</v>
      </c>
      <c r="X21">
        <v>0.7</v>
      </c>
      <c r="Y21">
        <v>0.92</v>
      </c>
      <c r="Z21">
        <v>1</v>
      </c>
      <c r="AA21">
        <v>1.44</v>
      </c>
      <c r="AB21">
        <v>1.1100000000000001</v>
      </c>
      <c r="AC21">
        <v>1</v>
      </c>
      <c r="AD21">
        <v>1</v>
      </c>
      <c r="AE21">
        <v>1.1100000000000001</v>
      </c>
      <c r="AF21">
        <v>13.6</v>
      </c>
      <c r="AH21" s="213" t="s">
        <v>817</v>
      </c>
      <c r="AI21" s="218">
        <v>4</v>
      </c>
      <c r="AJ21" s="58"/>
      <c r="AK21" s="60"/>
    </row>
    <row r="22" spans="1:37" x14ac:dyDescent="0.3">
      <c r="B22" s="90"/>
      <c r="J22" s="84" t="s">
        <v>71</v>
      </c>
      <c r="K22" s="78">
        <f>LOOKUP(K2,M2:M61,AA2:AA61)</f>
        <v>1.44</v>
      </c>
      <c r="M22" t="s">
        <v>121</v>
      </c>
      <c r="N22">
        <v>71</v>
      </c>
      <c r="O22">
        <v>0.69</v>
      </c>
      <c r="P22">
        <v>0.82</v>
      </c>
      <c r="Q22">
        <v>1</v>
      </c>
      <c r="R22">
        <v>1</v>
      </c>
      <c r="S22">
        <v>1.08</v>
      </c>
      <c r="T22">
        <v>1.1499999999999999</v>
      </c>
      <c r="U22">
        <v>1.1399999999999999</v>
      </c>
      <c r="V22">
        <v>1</v>
      </c>
      <c r="W22">
        <v>0.95</v>
      </c>
      <c r="X22">
        <v>0.7</v>
      </c>
      <c r="Y22">
        <v>0.92</v>
      </c>
      <c r="Z22">
        <v>1</v>
      </c>
      <c r="AA22">
        <v>1.44</v>
      </c>
      <c r="AB22">
        <v>1.1100000000000001</v>
      </c>
      <c r="AC22">
        <v>1</v>
      </c>
      <c r="AD22">
        <v>1</v>
      </c>
      <c r="AE22">
        <v>1.1100000000000001</v>
      </c>
      <c r="AF22">
        <v>13.6</v>
      </c>
      <c r="AH22" s="214" t="s">
        <v>832</v>
      </c>
      <c r="AI22" s="219">
        <v>1.1000000000000001</v>
      </c>
    </row>
    <row r="23" spans="1:37" ht="15" thickBot="1" x14ac:dyDescent="0.35">
      <c r="A23" t="s">
        <v>16</v>
      </c>
      <c r="B23">
        <f>IF(B17="Grassland",K9,IF(B17="Long Term Cultivated Crop",K7,IF(B17="Short term set aside Crop",K8,"error")))</f>
        <v>0.69</v>
      </c>
      <c r="C23">
        <f>IF(C17="Grassland",K9,IF(C17="Long Term Cultivated Crop",K7,IF(C17="Short term set aside Crop",K8,"error")))</f>
        <v>1</v>
      </c>
      <c r="J23" s="86" t="s">
        <v>72</v>
      </c>
      <c r="K23" s="80">
        <f>LOOKUP(K2,M2:M61,AB2:AB61)</f>
        <v>1.1100000000000001</v>
      </c>
      <c r="M23" t="s">
        <v>122</v>
      </c>
      <c r="N23">
        <v>115</v>
      </c>
      <c r="O23">
        <v>0.69</v>
      </c>
      <c r="P23">
        <v>0.82</v>
      </c>
      <c r="Q23">
        <v>1</v>
      </c>
      <c r="R23">
        <v>1</v>
      </c>
      <c r="S23">
        <v>1.08</v>
      </c>
      <c r="T23">
        <v>1.1499999999999999</v>
      </c>
      <c r="U23">
        <v>1.1399999999999999</v>
      </c>
      <c r="V23">
        <v>1</v>
      </c>
      <c r="W23">
        <v>0.95</v>
      </c>
      <c r="X23">
        <v>0.7</v>
      </c>
      <c r="Y23">
        <v>0.92</v>
      </c>
      <c r="Z23">
        <v>1</v>
      </c>
      <c r="AA23">
        <v>1.44</v>
      </c>
      <c r="AB23">
        <v>1.1100000000000001</v>
      </c>
      <c r="AC23">
        <v>1</v>
      </c>
      <c r="AD23">
        <v>1</v>
      </c>
      <c r="AE23">
        <v>1.1100000000000001</v>
      </c>
      <c r="AF23">
        <v>13.6</v>
      </c>
      <c r="AH23" s="214" t="s">
        <v>831</v>
      </c>
      <c r="AI23" s="219">
        <v>1.1000000000000001</v>
      </c>
    </row>
    <row r="24" spans="1:37" ht="15" thickBot="1" x14ac:dyDescent="0.35">
      <c r="A24" t="s">
        <v>168</v>
      </c>
      <c r="B24" t="str">
        <f>IF(B18="Nominally Managed",K16,IF(B18="Moderately Degraded",K17,IF(B18="Severely Degraded",K18,IF(B18="Improved",K15,IF(B18="N/A","","error")))))</f>
        <v/>
      </c>
      <c r="C24">
        <f>IF(C18="Nominally Managed",K16,IF(C18="Moderately Degraded",K17,IF(C18="Severely Degraded",K18,IF(C18="Improved",K15,IF(C18="N/A","","error")))))</f>
        <v>1.1399999999999999</v>
      </c>
      <c r="J24" s="84"/>
      <c r="K24" s="78"/>
      <c r="M24" t="s">
        <v>123</v>
      </c>
      <c r="N24">
        <v>130</v>
      </c>
      <c r="O24">
        <v>0.69</v>
      </c>
      <c r="P24">
        <v>0.82</v>
      </c>
      <c r="Q24">
        <v>1</v>
      </c>
      <c r="R24">
        <v>1</v>
      </c>
      <c r="S24">
        <v>1.08</v>
      </c>
      <c r="T24">
        <v>1.1499999999999999</v>
      </c>
      <c r="U24">
        <v>1.1399999999999999</v>
      </c>
      <c r="V24">
        <v>1</v>
      </c>
      <c r="W24">
        <v>0.95</v>
      </c>
      <c r="X24">
        <v>0.7</v>
      </c>
      <c r="Y24">
        <v>0.92</v>
      </c>
      <c r="Z24">
        <v>1</v>
      </c>
      <c r="AA24">
        <v>1.44</v>
      </c>
      <c r="AB24">
        <v>1.1100000000000001</v>
      </c>
      <c r="AC24">
        <v>1</v>
      </c>
      <c r="AD24">
        <v>1</v>
      </c>
      <c r="AE24">
        <v>1.1100000000000001</v>
      </c>
      <c r="AF24">
        <v>13.6</v>
      </c>
      <c r="AH24" s="214" t="s">
        <v>830</v>
      </c>
      <c r="AI24" s="219">
        <v>4</v>
      </c>
    </row>
    <row r="25" spans="1:37" x14ac:dyDescent="0.3">
      <c r="A25" t="s">
        <v>170</v>
      </c>
      <c r="B25">
        <f>IF(B19="Low",K25,IF(B19="Medium",K26,IF(B19="High",K27,IF(B19="N/A","","error"))))</f>
        <v>1</v>
      </c>
      <c r="C25">
        <f>IF(C19="Low",K25,IF(C19="Medium",K26,IF(C19="High",K27,IF(C19="N/A","","error"))))</f>
        <v>1.1100000000000001</v>
      </c>
      <c r="J25" s="85" t="s">
        <v>66</v>
      </c>
      <c r="K25" s="79">
        <f>LOOKUP(K2,M2:M61,AC2:AC61)</f>
        <v>1</v>
      </c>
      <c r="M25" t="s">
        <v>124</v>
      </c>
      <c r="N25">
        <v>87</v>
      </c>
      <c r="O25">
        <v>0.69</v>
      </c>
      <c r="P25">
        <v>0.82</v>
      </c>
      <c r="Q25">
        <v>1</v>
      </c>
      <c r="R25">
        <v>1</v>
      </c>
      <c r="S25">
        <v>1.08</v>
      </c>
      <c r="T25">
        <v>1.1499999999999999</v>
      </c>
      <c r="U25">
        <v>1.1399999999999999</v>
      </c>
      <c r="V25">
        <v>1</v>
      </c>
      <c r="W25">
        <v>0.95</v>
      </c>
      <c r="X25">
        <v>0.7</v>
      </c>
      <c r="Y25">
        <v>0.92</v>
      </c>
      <c r="Z25">
        <v>1</v>
      </c>
      <c r="AA25">
        <v>1.44</v>
      </c>
      <c r="AB25">
        <v>1.1100000000000001</v>
      </c>
      <c r="AC25">
        <v>1</v>
      </c>
      <c r="AD25">
        <v>1</v>
      </c>
      <c r="AE25">
        <v>1.1100000000000001</v>
      </c>
      <c r="AF25">
        <v>13.6</v>
      </c>
      <c r="AH25" s="214" t="s">
        <v>829</v>
      </c>
      <c r="AI25" s="219">
        <v>4</v>
      </c>
    </row>
    <row r="26" spans="1:37" x14ac:dyDescent="0.3">
      <c r="A26" t="s">
        <v>171</v>
      </c>
      <c r="B26">
        <f>IF(B20="Full Tillage",K11,IF(B20="Reduced Till",K12,IF(B20="No Till",K13,IF(B20="N/A","","error"))))</f>
        <v>1</v>
      </c>
      <c r="C26" t="str">
        <f>IF(C20="Full Tillage",K11,IF(C20="Reduced Till",K12,IF(C20="No Till",K13,IF(C20="N/A","","error"))))</f>
        <v/>
      </c>
      <c r="J26" s="84" t="s">
        <v>67</v>
      </c>
      <c r="K26" s="78">
        <f>LOOKUP(K2,M2:M61,AD2:AD61)</f>
        <v>1</v>
      </c>
      <c r="M26" t="s">
        <v>101</v>
      </c>
      <c r="N26">
        <v>38</v>
      </c>
      <c r="O26">
        <v>0.57999999999999996</v>
      </c>
      <c r="P26">
        <v>0.93</v>
      </c>
      <c r="Q26">
        <v>1</v>
      </c>
      <c r="R26">
        <v>1</v>
      </c>
      <c r="S26">
        <v>1.0900000000000001</v>
      </c>
      <c r="T26">
        <v>1.17</v>
      </c>
      <c r="U26">
        <v>1.17</v>
      </c>
      <c r="V26">
        <v>1</v>
      </c>
      <c r="W26">
        <v>0.97</v>
      </c>
      <c r="X26">
        <v>0.7</v>
      </c>
      <c r="Y26">
        <v>0.95</v>
      </c>
      <c r="Z26">
        <v>1</v>
      </c>
      <c r="AA26" s="72">
        <v>1.37</v>
      </c>
      <c r="AB26">
        <v>1.04</v>
      </c>
      <c r="AC26">
        <v>1</v>
      </c>
      <c r="AD26">
        <v>1</v>
      </c>
      <c r="AE26">
        <v>1.1100000000000001</v>
      </c>
      <c r="AF26">
        <v>8.6999999999999993</v>
      </c>
      <c r="AH26" s="214" t="s">
        <v>826</v>
      </c>
      <c r="AI26" s="219">
        <v>4</v>
      </c>
    </row>
    <row r="27" spans="1:37" ht="15" thickBot="1" x14ac:dyDescent="0.35">
      <c r="A27" t="s">
        <v>169</v>
      </c>
      <c r="B27">
        <f>IF(B21="Low",K20,IF(B21="Medium",K21,IF(B21="High W/ Manure",K22,IF(B21="High W/O Manure",K23,IF(B21="N/A","","error")))))</f>
        <v>1</v>
      </c>
      <c r="C27" t="str">
        <f>IF(C21="Low",K20,IF(C21="Medium",K21,IF(C21="High W/ Manure",K22,IF(C21="High W/O Manure",K23,IF(C21="N/A","","error")))))</f>
        <v/>
      </c>
      <c r="J27" s="86" t="s">
        <v>68</v>
      </c>
      <c r="K27" s="80">
        <f>LOOKUP(K2,M2:M61,AE2:AE61)</f>
        <v>1.1100000000000001</v>
      </c>
      <c r="M27" t="s">
        <v>102</v>
      </c>
      <c r="N27">
        <v>35</v>
      </c>
      <c r="O27">
        <v>0.57999999999999996</v>
      </c>
      <c r="P27">
        <v>0.93</v>
      </c>
      <c r="Q27">
        <v>1</v>
      </c>
      <c r="R27">
        <v>1</v>
      </c>
      <c r="S27">
        <v>1.0900000000000001</v>
      </c>
      <c r="T27">
        <v>1.17</v>
      </c>
      <c r="U27">
        <v>1.17</v>
      </c>
      <c r="V27">
        <v>1</v>
      </c>
      <c r="W27">
        <v>0.97</v>
      </c>
      <c r="X27">
        <v>0.7</v>
      </c>
      <c r="Y27">
        <v>0.95</v>
      </c>
      <c r="Z27">
        <v>1</v>
      </c>
      <c r="AA27">
        <v>1.37</v>
      </c>
      <c r="AB27">
        <v>1.04</v>
      </c>
      <c r="AC27">
        <v>1</v>
      </c>
      <c r="AD27">
        <v>1</v>
      </c>
      <c r="AE27">
        <v>1.1100000000000001</v>
      </c>
      <c r="AF27">
        <v>8.6999999999999993</v>
      </c>
      <c r="AH27" s="214" t="s">
        <v>825</v>
      </c>
      <c r="AI27" s="219">
        <v>7</v>
      </c>
    </row>
    <row r="28" spans="1:37" ht="15" thickBot="1" x14ac:dyDescent="0.35">
      <c r="A28" s="206" t="s">
        <v>896</v>
      </c>
      <c r="C28">
        <f>IF(BIOTIC!C24="yes",LOOKUP(J33,AH2:AH91,AI2:AI91),0)</f>
        <v>0</v>
      </c>
      <c r="J28" s="84"/>
      <c r="K28" s="78"/>
      <c r="M28" t="s">
        <v>103</v>
      </c>
      <c r="N28">
        <v>31</v>
      </c>
      <c r="O28">
        <v>0.57999999999999996</v>
      </c>
      <c r="P28">
        <v>0.93</v>
      </c>
      <c r="Q28">
        <v>1</v>
      </c>
      <c r="R28">
        <v>1</v>
      </c>
      <c r="S28">
        <v>1.0900000000000001</v>
      </c>
      <c r="T28">
        <v>1.17</v>
      </c>
      <c r="U28">
        <v>1.17</v>
      </c>
      <c r="V28">
        <v>1</v>
      </c>
      <c r="W28">
        <v>0.97</v>
      </c>
      <c r="X28">
        <v>0.7</v>
      </c>
      <c r="Y28">
        <v>0.95</v>
      </c>
      <c r="Z28">
        <v>1</v>
      </c>
      <c r="AA28">
        <v>1.37</v>
      </c>
      <c r="AB28">
        <v>1.04</v>
      </c>
      <c r="AC28">
        <v>1</v>
      </c>
      <c r="AD28">
        <v>1</v>
      </c>
      <c r="AE28">
        <v>1.1100000000000001</v>
      </c>
      <c r="AF28">
        <v>8.6999999999999993</v>
      </c>
      <c r="AH28" s="214" t="s">
        <v>823</v>
      </c>
      <c r="AI28" s="219">
        <f>AVERAGE(1.8,5)</f>
        <v>3.4</v>
      </c>
    </row>
    <row r="29" spans="1:37" ht="15" thickBot="1" x14ac:dyDescent="0.35">
      <c r="A29" t="s">
        <v>897</v>
      </c>
      <c r="C29">
        <f>C28*0.5</f>
        <v>0</v>
      </c>
      <c r="J29" s="83" t="s">
        <v>160</v>
      </c>
      <c r="K29" s="77">
        <f>LOOKUP(K2,M2:M61,AF2:AF61)</f>
        <v>13.5</v>
      </c>
      <c r="M29" t="s">
        <v>104</v>
      </c>
      <c r="N29">
        <v>0</v>
      </c>
      <c r="O29">
        <v>0.57999999999999996</v>
      </c>
      <c r="P29">
        <v>0.93</v>
      </c>
      <c r="Q29">
        <v>1</v>
      </c>
      <c r="R29">
        <v>1</v>
      </c>
      <c r="S29">
        <v>1.0900000000000001</v>
      </c>
      <c r="T29">
        <v>1.17</v>
      </c>
      <c r="U29">
        <v>1.17</v>
      </c>
      <c r="V29">
        <v>1</v>
      </c>
      <c r="W29">
        <v>0.97</v>
      </c>
      <c r="X29">
        <v>0.7</v>
      </c>
      <c r="Y29">
        <v>0.95</v>
      </c>
      <c r="Z29">
        <v>1</v>
      </c>
      <c r="AA29">
        <v>1.37</v>
      </c>
      <c r="AB29">
        <v>1.04</v>
      </c>
      <c r="AC29">
        <v>1</v>
      </c>
      <c r="AD29">
        <v>1</v>
      </c>
      <c r="AE29">
        <v>1.1100000000000001</v>
      </c>
      <c r="AF29">
        <v>8.6999999999999993</v>
      </c>
      <c r="AH29" s="214" t="s">
        <v>824</v>
      </c>
      <c r="AI29" s="219">
        <f>0.9</f>
        <v>0.9</v>
      </c>
    </row>
    <row r="30" spans="1:37" ht="15" thickBot="1" x14ac:dyDescent="0.35">
      <c r="A30" s="221" t="s">
        <v>899</v>
      </c>
      <c r="B30" s="222"/>
      <c r="C30" s="220">
        <f>IF(BIOTIC!C24="yes",BIOTIC!C25*'Biotic Data'!C29*-1,0)</f>
        <v>0</v>
      </c>
      <c r="M30" t="s">
        <v>105</v>
      </c>
      <c r="N30">
        <v>50</v>
      </c>
      <c r="O30">
        <v>0.57999999999999996</v>
      </c>
      <c r="P30">
        <v>0.93</v>
      </c>
      <c r="Q30">
        <v>1</v>
      </c>
      <c r="R30">
        <v>1</v>
      </c>
      <c r="S30">
        <v>1.0900000000000001</v>
      </c>
      <c r="T30">
        <v>1.17</v>
      </c>
      <c r="U30">
        <v>1.17</v>
      </c>
      <c r="V30">
        <v>1</v>
      </c>
      <c r="W30">
        <v>0.97</v>
      </c>
      <c r="X30">
        <v>0.7</v>
      </c>
      <c r="Y30">
        <v>0.95</v>
      </c>
      <c r="Z30">
        <v>1</v>
      </c>
      <c r="AA30">
        <v>1.37</v>
      </c>
      <c r="AB30">
        <v>1.04</v>
      </c>
      <c r="AC30">
        <v>1</v>
      </c>
      <c r="AD30">
        <v>1</v>
      </c>
      <c r="AE30">
        <v>1.1100000000000001</v>
      </c>
      <c r="AF30">
        <v>8.6999999999999993</v>
      </c>
      <c r="AH30" s="214" t="s">
        <v>828</v>
      </c>
      <c r="AI30" s="219">
        <v>4</v>
      </c>
    </row>
    <row r="31" spans="1:37" x14ac:dyDescent="0.3">
      <c r="M31" t="s">
        <v>106</v>
      </c>
      <c r="N31">
        <v>86</v>
      </c>
      <c r="O31">
        <v>0.57999999999999996</v>
      </c>
      <c r="P31">
        <v>0.93</v>
      </c>
      <c r="Q31">
        <v>1</v>
      </c>
      <c r="R31">
        <v>1</v>
      </c>
      <c r="S31">
        <v>1.0900000000000001</v>
      </c>
      <c r="T31">
        <v>1.17</v>
      </c>
      <c r="U31">
        <v>1.17</v>
      </c>
      <c r="V31">
        <v>1</v>
      </c>
      <c r="W31">
        <v>0.97</v>
      </c>
      <c r="X31">
        <v>0.7</v>
      </c>
      <c r="Y31">
        <v>0.95</v>
      </c>
      <c r="Z31">
        <v>1</v>
      </c>
      <c r="AA31">
        <v>1.37</v>
      </c>
      <c r="AB31">
        <v>1.04</v>
      </c>
      <c r="AC31">
        <v>1</v>
      </c>
      <c r="AD31">
        <v>1</v>
      </c>
      <c r="AE31">
        <v>1.1100000000000001</v>
      </c>
      <c r="AF31">
        <v>8.6999999999999993</v>
      </c>
      <c r="AH31" s="214" t="s">
        <v>827</v>
      </c>
      <c r="AI31" s="219">
        <v>4</v>
      </c>
    </row>
    <row r="32" spans="1:37" x14ac:dyDescent="0.3">
      <c r="J32" s="100" t="s">
        <v>898</v>
      </c>
      <c r="M32" t="s">
        <v>95</v>
      </c>
      <c r="N32">
        <v>65</v>
      </c>
      <c r="O32">
        <v>0.48</v>
      </c>
      <c r="P32">
        <v>0.82</v>
      </c>
      <c r="Q32">
        <v>1</v>
      </c>
      <c r="R32">
        <v>1</v>
      </c>
      <c r="S32" s="68">
        <v>1.1499999999999999</v>
      </c>
      <c r="T32" s="69">
        <v>1.22</v>
      </c>
      <c r="U32" s="69">
        <v>1.17</v>
      </c>
      <c r="V32">
        <v>1</v>
      </c>
      <c r="W32">
        <v>0.97</v>
      </c>
      <c r="X32">
        <v>0.7</v>
      </c>
      <c r="Y32" s="57">
        <v>0.92</v>
      </c>
      <c r="Z32">
        <v>1</v>
      </c>
      <c r="AA32" s="71">
        <v>1.44</v>
      </c>
      <c r="AB32" s="71">
        <v>1.1100000000000001</v>
      </c>
      <c r="AC32">
        <v>1</v>
      </c>
      <c r="AD32">
        <v>1</v>
      </c>
      <c r="AE32">
        <v>1.1100000000000001</v>
      </c>
      <c r="AF32" s="74">
        <v>16.100000000000001</v>
      </c>
      <c r="AH32" s="214" t="s">
        <v>842</v>
      </c>
      <c r="AI32" s="219">
        <v>1.1000000000000001</v>
      </c>
    </row>
    <row r="33" spans="1:35" x14ac:dyDescent="0.3">
      <c r="A33" t="s">
        <v>900</v>
      </c>
      <c r="B33" s="91">
        <f>IF(B17="Grassland",K4*B23*B24*B25,K4*B23*B26*B27)</f>
        <v>43.47</v>
      </c>
      <c r="C33" s="91">
        <f>IF(C17="Grassland",K4*C23*C24*C25,K4*C23*C26*C27)</f>
        <v>79.720200000000006</v>
      </c>
      <c r="J33" t="str">
        <f>BIOTIC!B11&amp;"/"&amp;BIOTIC!B12</f>
        <v>North America/Warm Temperate Moist</v>
      </c>
      <c r="M33" t="s">
        <v>96</v>
      </c>
      <c r="N33">
        <v>47</v>
      </c>
      <c r="O33">
        <v>0.48</v>
      </c>
      <c r="P33">
        <v>0.82</v>
      </c>
      <c r="Q33">
        <v>1</v>
      </c>
      <c r="R33">
        <v>1</v>
      </c>
      <c r="S33" s="68">
        <v>1.1499999999999999</v>
      </c>
      <c r="T33" s="69">
        <v>1.22</v>
      </c>
      <c r="U33" s="69">
        <v>1.17</v>
      </c>
      <c r="V33">
        <v>1</v>
      </c>
      <c r="W33">
        <v>0.97</v>
      </c>
      <c r="X33">
        <v>0.7</v>
      </c>
      <c r="Y33" s="57">
        <v>0.92</v>
      </c>
      <c r="Z33">
        <v>1</v>
      </c>
      <c r="AA33" s="71">
        <v>1.44</v>
      </c>
      <c r="AB33" s="71">
        <v>1.1100000000000001</v>
      </c>
      <c r="AC33">
        <v>1</v>
      </c>
      <c r="AD33">
        <v>1</v>
      </c>
      <c r="AE33">
        <v>1.1100000000000001</v>
      </c>
      <c r="AF33" s="74">
        <v>16.100000000000001</v>
      </c>
      <c r="AH33" s="214" t="s">
        <v>841</v>
      </c>
      <c r="AI33" s="219">
        <v>1.1000000000000001</v>
      </c>
    </row>
    <row r="34" spans="1:35" ht="15" thickBot="1" x14ac:dyDescent="0.35">
      <c r="A34" t="s">
        <v>901</v>
      </c>
      <c r="C34">
        <f>(B33-C33)/20</f>
        <v>-1.8125100000000003</v>
      </c>
      <c r="M34" t="s">
        <v>97</v>
      </c>
      <c r="N34">
        <v>39</v>
      </c>
      <c r="O34">
        <v>0.48</v>
      </c>
      <c r="P34">
        <v>0.82</v>
      </c>
      <c r="Q34">
        <v>1</v>
      </c>
      <c r="R34">
        <v>1</v>
      </c>
      <c r="S34" s="68">
        <v>1.1499999999999999</v>
      </c>
      <c r="T34" s="69">
        <v>1.22</v>
      </c>
      <c r="U34" s="69">
        <v>1.17</v>
      </c>
      <c r="V34">
        <v>1</v>
      </c>
      <c r="W34">
        <v>0.97</v>
      </c>
      <c r="X34">
        <v>0.7</v>
      </c>
      <c r="Y34" s="57">
        <v>0.92</v>
      </c>
      <c r="Z34">
        <v>1</v>
      </c>
      <c r="AA34" s="71">
        <v>1.44</v>
      </c>
      <c r="AB34" s="71">
        <v>1.1100000000000001</v>
      </c>
      <c r="AC34">
        <v>1</v>
      </c>
      <c r="AD34">
        <v>1</v>
      </c>
      <c r="AE34">
        <v>1.1100000000000001</v>
      </c>
      <c r="AF34" s="74">
        <v>16.100000000000001</v>
      </c>
      <c r="AH34" s="214" t="s">
        <v>840</v>
      </c>
      <c r="AI34" s="219">
        <v>4</v>
      </c>
    </row>
    <row r="35" spans="1:35" ht="15" thickBot="1" x14ac:dyDescent="0.35">
      <c r="A35" s="221" t="s">
        <v>902</v>
      </c>
      <c r="B35" s="222"/>
      <c r="C35" s="220">
        <f>C34*BIOTIC!B15</f>
        <v>-9062.5500000000011</v>
      </c>
      <c r="M35" t="s">
        <v>98</v>
      </c>
      <c r="N35">
        <v>0</v>
      </c>
      <c r="O35">
        <v>0.48</v>
      </c>
      <c r="P35">
        <v>0.82</v>
      </c>
      <c r="Q35">
        <v>1</v>
      </c>
      <c r="R35">
        <v>1</v>
      </c>
      <c r="S35" s="68">
        <v>1.1499999999999999</v>
      </c>
      <c r="T35" s="69">
        <v>1.22</v>
      </c>
      <c r="U35" s="69">
        <v>1.17</v>
      </c>
      <c r="V35">
        <v>1</v>
      </c>
      <c r="W35">
        <v>0.97</v>
      </c>
      <c r="X35">
        <v>0.7</v>
      </c>
      <c r="Y35" s="57">
        <v>0.92</v>
      </c>
      <c r="Z35">
        <v>1</v>
      </c>
      <c r="AA35" s="71">
        <v>1.44</v>
      </c>
      <c r="AB35" s="71">
        <v>1.1100000000000001</v>
      </c>
      <c r="AC35">
        <v>1</v>
      </c>
      <c r="AD35">
        <v>1</v>
      </c>
      <c r="AE35">
        <v>1.1100000000000001</v>
      </c>
      <c r="AF35" s="74">
        <v>16.100000000000001</v>
      </c>
      <c r="AH35" s="214" t="s">
        <v>839</v>
      </c>
      <c r="AI35" s="219">
        <v>4</v>
      </c>
    </row>
    <row r="36" spans="1:35" x14ac:dyDescent="0.3">
      <c r="M36" t="s">
        <v>99</v>
      </c>
      <c r="N36">
        <v>70</v>
      </c>
      <c r="O36">
        <v>0.48</v>
      </c>
      <c r="P36">
        <v>0.82</v>
      </c>
      <c r="Q36">
        <v>1</v>
      </c>
      <c r="R36">
        <v>1</v>
      </c>
      <c r="S36" s="68">
        <v>1.1499999999999999</v>
      </c>
      <c r="T36" s="69">
        <v>1.22</v>
      </c>
      <c r="U36" s="69">
        <v>1.17</v>
      </c>
      <c r="V36">
        <v>1</v>
      </c>
      <c r="W36">
        <v>0.97</v>
      </c>
      <c r="X36">
        <v>0.7</v>
      </c>
      <c r="Y36" s="57">
        <v>0.92</v>
      </c>
      <c r="Z36">
        <v>1</v>
      </c>
      <c r="AA36" s="71">
        <v>1.44</v>
      </c>
      <c r="AB36" s="71">
        <v>1.1100000000000001</v>
      </c>
      <c r="AC36">
        <v>1</v>
      </c>
      <c r="AD36">
        <v>1</v>
      </c>
      <c r="AE36">
        <v>1.1100000000000001</v>
      </c>
      <c r="AF36" s="74">
        <v>16.100000000000001</v>
      </c>
      <c r="AH36" s="214" t="s">
        <v>836</v>
      </c>
      <c r="AI36" s="219">
        <v>6</v>
      </c>
    </row>
    <row r="37" spans="1:35" ht="15" thickBot="1" x14ac:dyDescent="0.35">
      <c r="M37" t="s">
        <v>100</v>
      </c>
      <c r="N37">
        <v>86</v>
      </c>
      <c r="O37">
        <v>0.48</v>
      </c>
      <c r="P37">
        <v>0.82</v>
      </c>
      <c r="Q37">
        <v>1</v>
      </c>
      <c r="R37">
        <v>1</v>
      </c>
      <c r="S37" s="68">
        <v>1.1499999999999999</v>
      </c>
      <c r="T37" s="69">
        <v>1.22</v>
      </c>
      <c r="U37" s="69">
        <v>1.17</v>
      </c>
      <c r="V37">
        <v>1</v>
      </c>
      <c r="W37">
        <v>0.97</v>
      </c>
      <c r="X37">
        <v>0.7</v>
      </c>
      <c r="Y37" s="57">
        <v>0.92</v>
      </c>
      <c r="Z37">
        <v>1</v>
      </c>
      <c r="AA37" s="71">
        <v>1.44</v>
      </c>
      <c r="AB37" s="71">
        <v>1.1100000000000001</v>
      </c>
      <c r="AC37">
        <v>1</v>
      </c>
      <c r="AD37">
        <v>1</v>
      </c>
      <c r="AE37">
        <v>1.1100000000000001</v>
      </c>
      <c r="AF37" s="74">
        <v>16.100000000000001</v>
      </c>
      <c r="AH37" s="214" t="s">
        <v>835</v>
      </c>
      <c r="AI37" s="219">
        <v>9</v>
      </c>
    </row>
    <row r="38" spans="1:35" ht="15" thickBot="1" x14ac:dyDescent="0.35">
      <c r="A38" s="223" t="s">
        <v>903</v>
      </c>
      <c r="B38" s="224">
        <f>-1*(C30+C35)*(44/12)</f>
        <v>33229.350000000006</v>
      </c>
      <c r="M38" t="s">
        <v>83</v>
      </c>
      <c r="N38">
        <v>88</v>
      </c>
      <c r="O38">
        <v>0.64</v>
      </c>
      <c r="P38">
        <v>0.88</v>
      </c>
      <c r="Q38">
        <v>1</v>
      </c>
      <c r="R38">
        <v>1</v>
      </c>
      <c r="S38">
        <v>1.0900000000000001</v>
      </c>
      <c r="T38">
        <v>1.1599999999999999</v>
      </c>
      <c r="U38">
        <v>1.1599999999999999</v>
      </c>
      <c r="V38">
        <v>1</v>
      </c>
      <c r="W38">
        <v>0.96</v>
      </c>
      <c r="X38">
        <v>0.7</v>
      </c>
      <c r="Y38">
        <v>0.94</v>
      </c>
      <c r="Z38">
        <v>1</v>
      </c>
      <c r="AA38">
        <v>1.41</v>
      </c>
      <c r="AB38">
        <v>1.08</v>
      </c>
      <c r="AC38">
        <v>1</v>
      </c>
      <c r="AD38">
        <v>1</v>
      </c>
      <c r="AE38">
        <v>1.1100000000000001</v>
      </c>
      <c r="AF38" s="74">
        <v>16.100000000000001</v>
      </c>
      <c r="AH38" s="214" t="s">
        <v>833</v>
      </c>
      <c r="AI38" s="219">
        <v>3.5</v>
      </c>
    </row>
    <row r="39" spans="1:35" x14ac:dyDescent="0.3">
      <c r="M39" t="s">
        <v>84</v>
      </c>
      <c r="N39">
        <v>63</v>
      </c>
      <c r="O39">
        <v>0.64</v>
      </c>
      <c r="P39">
        <v>0.88</v>
      </c>
      <c r="Q39">
        <v>1</v>
      </c>
      <c r="R39">
        <v>1</v>
      </c>
      <c r="S39">
        <v>1.0900000000000001</v>
      </c>
      <c r="T39">
        <v>1.1599999999999999</v>
      </c>
      <c r="U39">
        <v>1.1599999999999999</v>
      </c>
      <c r="V39">
        <v>1</v>
      </c>
      <c r="W39">
        <v>0.96</v>
      </c>
      <c r="X39">
        <v>0.7</v>
      </c>
      <c r="Y39">
        <v>0.94</v>
      </c>
      <c r="Z39">
        <v>1</v>
      </c>
      <c r="AA39">
        <v>1.41</v>
      </c>
      <c r="AB39">
        <v>1.08</v>
      </c>
      <c r="AC39">
        <v>1</v>
      </c>
      <c r="AD39">
        <v>1</v>
      </c>
      <c r="AE39">
        <v>1.1100000000000001</v>
      </c>
      <c r="AF39" s="74">
        <v>16.100000000000001</v>
      </c>
      <c r="AH39" s="214" t="s">
        <v>834</v>
      </c>
      <c r="AI39" s="219">
        <v>7</v>
      </c>
    </row>
    <row r="40" spans="1:35" x14ac:dyDescent="0.3">
      <c r="M40" t="s">
        <v>85</v>
      </c>
      <c r="N40">
        <v>34</v>
      </c>
      <c r="O40">
        <v>0.64</v>
      </c>
      <c r="P40">
        <v>0.88</v>
      </c>
      <c r="Q40">
        <v>1</v>
      </c>
      <c r="R40">
        <v>1</v>
      </c>
      <c r="S40">
        <v>1.0900000000000001</v>
      </c>
      <c r="T40">
        <v>1.1599999999999999</v>
      </c>
      <c r="U40">
        <v>1.1599999999999999</v>
      </c>
      <c r="V40">
        <v>1</v>
      </c>
      <c r="W40">
        <v>0.96</v>
      </c>
      <c r="X40">
        <v>0.7</v>
      </c>
      <c r="Y40">
        <v>0.94</v>
      </c>
      <c r="Z40">
        <v>1</v>
      </c>
      <c r="AA40">
        <v>1.41</v>
      </c>
      <c r="AB40">
        <v>1.08</v>
      </c>
      <c r="AC40">
        <v>1</v>
      </c>
      <c r="AD40">
        <v>1</v>
      </c>
      <c r="AE40">
        <v>1.1100000000000001</v>
      </c>
      <c r="AF40" s="74">
        <v>16.100000000000001</v>
      </c>
      <c r="AH40" s="214" t="s">
        <v>838</v>
      </c>
      <c r="AI40" s="219">
        <v>4</v>
      </c>
    </row>
    <row r="41" spans="1:35" ht="28.8" x14ac:dyDescent="0.3">
      <c r="M41" t="s">
        <v>86</v>
      </c>
      <c r="N41">
        <v>0</v>
      </c>
      <c r="O41">
        <v>0.64</v>
      </c>
      <c r="P41">
        <v>0.88</v>
      </c>
      <c r="Q41">
        <v>1</v>
      </c>
      <c r="R41">
        <v>1</v>
      </c>
      <c r="S41">
        <v>1.0900000000000001</v>
      </c>
      <c r="T41">
        <v>1.1599999999999999</v>
      </c>
      <c r="U41">
        <v>1.1599999999999999</v>
      </c>
      <c r="V41">
        <v>1</v>
      </c>
      <c r="W41">
        <v>0.96</v>
      </c>
      <c r="X41">
        <v>0.7</v>
      </c>
      <c r="Y41">
        <v>0.94</v>
      </c>
      <c r="Z41">
        <v>1</v>
      </c>
      <c r="AA41">
        <v>1.41</v>
      </c>
      <c r="AB41">
        <v>1.08</v>
      </c>
      <c r="AC41">
        <v>1</v>
      </c>
      <c r="AD41">
        <v>1</v>
      </c>
      <c r="AE41">
        <v>1.1100000000000001</v>
      </c>
      <c r="AF41" s="74">
        <v>16.100000000000001</v>
      </c>
      <c r="AH41" s="214" t="s">
        <v>837</v>
      </c>
      <c r="AI41" s="219">
        <v>4</v>
      </c>
    </row>
    <row r="42" spans="1:35" x14ac:dyDescent="0.3">
      <c r="M42" t="s">
        <v>87</v>
      </c>
      <c r="N42">
        <v>80</v>
      </c>
      <c r="O42">
        <v>0.64</v>
      </c>
      <c r="P42">
        <v>0.88</v>
      </c>
      <c r="Q42">
        <v>1</v>
      </c>
      <c r="R42">
        <v>1</v>
      </c>
      <c r="S42">
        <v>1.0900000000000001</v>
      </c>
      <c r="T42">
        <v>1.1599999999999999</v>
      </c>
      <c r="U42">
        <v>1.1599999999999999</v>
      </c>
      <c r="V42">
        <v>1</v>
      </c>
      <c r="W42">
        <v>0.96</v>
      </c>
      <c r="X42">
        <v>0.7</v>
      </c>
      <c r="Y42">
        <v>0.94</v>
      </c>
      <c r="Z42">
        <v>1</v>
      </c>
      <c r="AA42">
        <v>1.41</v>
      </c>
      <c r="AB42">
        <v>1.08</v>
      </c>
      <c r="AC42">
        <v>1</v>
      </c>
      <c r="AD42">
        <v>1</v>
      </c>
      <c r="AE42">
        <v>1.1100000000000001</v>
      </c>
      <c r="AF42" s="74">
        <v>16.100000000000001</v>
      </c>
      <c r="AH42" s="211" t="s">
        <v>852</v>
      </c>
      <c r="AI42" s="219">
        <v>1.1000000000000001</v>
      </c>
    </row>
    <row r="43" spans="1:35" x14ac:dyDescent="0.3">
      <c r="M43" t="s">
        <v>88</v>
      </c>
      <c r="N43">
        <v>86</v>
      </c>
      <c r="O43">
        <v>0.64</v>
      </c>
      <c r="P43">
        <v>0.88</v>
      </c>
      <c r="Q43">
        <v>1</v>
      </c>
      <c r="R43">
        <v>1</v>
      </c>
      <c r="S43">
        <v>1.0900000000000001</v>
      </c>
      <c r="T43">
        <v>1.1599999999999999</v>
      </c>
      <c r="U43">
        <v>1.1599999999999999</v>
      </c>
      <c r="V43">
        <v>1</v>
      </c>
      <c r="W43">
        <v>0.96</v>
      </c>
      <c r="X43">
        <v>0.7</v>
      </c>
      <c r="Y43">
        <v>0.94</v>
      </c>
      <c r="Z43">
        <v>1</v>
      </c>
      <c r="AA43">
        <v>1.41</v>
      </c>
      <c r="AB43">
        <v>1.08</v>
      </c>
      <c r="AC43">
        <v>1</v>
      </c>
      <c r="AD43">
        <v>1</v>
      </c>
      <c r="AE43">
        <v>1.1100000000000001</v>
      </c>
      <c r="AF43" s="74">
        <v>16.100000000000001</v>
      </c>
      <c r="AH43" s="211" t="s">
        <v>851</v>
      </c>
      <c r="AI43" s="219">
        <v>1.1000000000000001</v>
      </c>
    </row>
    <row r="44" spans="1:35" x14ac:dyDescent="0.3">
      <c r="M44" t="s">
        <v>89</v>
      </c>
      <c r="N44">
        <v>44</v>
      </c>
      <c r="O44">
        <v>0.48</v>
      </c>
      <c r="P44">
        <v>0.82</v>
      </c>
      <c r="Q44">
        <v>1</v>
      </c>
      <c r="R44">
        <v>1</v>
      </c>
      <c r="S44" s="69">
        <v>1.1499999999999999</v>
      </c>
      <c r="T44" s="69">
        <v>1.22</v>
      </c>
      <c r="U44" s="69">
        <v>1.17</v>
      </c>
      <c r="V44">
        <v>1</v>
      </c>
      <c r="W44">
        <v>0.97</v>
      </c>
      <c r="X44">
        <v>0.7</v>
      </c>
      <c r="Y44" s="57">
        <v>0.92</v>
      </c>
      <c r="Z44">
        <v>1</v>
      </c>
      <c r="AA44" s="71">
        <v>1.44</v>
      </c>
      <c r="AB44" s="73">
        <v>1.1100000000000001</v>
      </c>
      <c r="AC44">
        <v>1</v>
      </c>
      <c r="AD44">
        <v>1</v>
      </c>
      <c r="AE44">
        <v>1.1100000000000001</v>
      </c>
      <c r="AF44" s="74">
        <v>16.100000000000001</v>
      </c>
      <c r="AH44" s="211" t="s">
        <v>850</v>
      </c>
      <c r="AI44" s="219">
        <v>4</v>
      </c>
    </row>
    <row r="45" spans="1:35" x14ac:dyDescent="0.3">
      <c r="M45" t="s">
        <v>90</v>
      </c>
      <c r="N45">
        <v>60</v>
      </c>
      <c r="O45">
        <v>0.48</v>
      </c>
      <c r="P45">
        <v>0.82</v>
      </c>
      <c r="Q45">
        <v>1</v>
      </c>
      <c r="R45">
        <v>1</v>
      </c>
      <c r="S45" s="69">
        <v>1.1499999999999999</v>
      </c>
      <c r="T45" s="69">
        <v>1.22</v>
      </c>
      <c r="U45" s="69">
        <v>1.17</v>
      </c>
      <c r="V45">
        <v>1</v>
      </c>
      <c r="W45">
        <v>0.97</v>
      </c>
      <c r="X45">
        <v>0.7</v>
      </c>
      <c r="Y45" s="57">
        <v>0.92</v>
      </c>
      <c r="Z45">
        <v>1</v>
      </c>
      <c r="AA45" s="71">
        <v>1.44</v>
      </c>
      <c r="AB45" s="73">
        <v>1.1100000000000001</v>
      </c>
      <c r="AC45">
        <v>1</v>
      </c>
      <c r="AD45">
        <v>1</v>
      </c>
      <c r="AE45">
        <v>1.1100000000000001</v>
      </c>
      <c r="AF45" s="74">
        <v>16.100000000000001</v>
      </c>
      <c r="AH45" s="209" t="s">
        <v>849</v>
      </c>
      <c r="AI45" s="219">
        <v>4</v>
      </c>
    </row>
    <row r="46" spans="1:35" x14ac:dyDescent="0.3">
      <c r="M46" t="s">
        <v>91</v>
      </c>
      <c r="N46">
        <v>66</v>
      </c>
      <c r="O46">
        <v>0.48</v>
      </c>
      <c r="P46">
        <v>0.82</v>
      </c>
      <c r="Q46">
        <v>1</v>
      </c>
      <c r="R46">
        <v>1</v>
      </c>
      <c r="S46" s="69">
        <v>1.1499999999999999</v>
      </c>
      <c r="T46" s="69">
        <v>1.22</v>
      </c>
      <c r="U46" s="69">
        <v>1.17</v>
      </c>
      <c r="V46">
        <v>1</v>
      </c>
      <c r="W46">
        <v>0.97</v>
      </c>
      <c r="X46">
        <v>0.7</v>
      </c>
      <c r="Y46" s="57">
        <v>0.92</v>
      </c>
      <c r="Z46">
        <v>1</v>
      </c>
      <c r="AA46" s="71">
        <v>1.44</v>
      </c>
      <c r="AB46" s="73">
        <v>1.1100000000000001</v>
      </c>
      <c r="AC46">
        <v>1</v>
      </c>
      <c r="AD46">
        <v>1</v>
      </c>
      <c r="AE46">
        <v>1.1100000000000001</v>
      </c>
      <c r="AF46" s="74">
        <v>16.100000000000001</v>
      </c>
      <c r="AH46" s="57" t="s">
        <v>846</v>
      </c>
      <c r="AI46" s="219">
        <v>4</v>
      </c>
    </row>
    <row r="47" spans="1:35" x14ac:dyDescent="0.3">
      <c r="M47" t="s">
        <v>92</v>
      </c>
      <c r="N47">
        <v>0</v>
      </c>
      <c r="O47">
        <v>0.48</v>
      </c>
      <c r="P47">
        <v>0.82</v>
      </c>
      <c r="Q47">
        <v>1</v>
      </c>
      <c r="R47">
        <v>1</v>
      </c>
      <c r="S47" s="69">
        <v>1.1499999999999999</v>
      </c>
      <c r="T47" s="69">
        <v>1.22</v>
      </c>
      <c r="U47" s="69">
        <v>1.17</v>
      </c>
      <c r="V47">
        <v>1</v>
      </c>
      <c r="W47">
        <v>0.97</v>
      </c>
      <c r="X47">
        <v>0.7</v>
      </c>
      <c r="Y47" s="57">
        <v>0.92</v>
      </c>
      <c r="Z47">
        <v>1</v>
      </c>
      <c r="AA47" s="71">
        <v>1.44</v>
      </c>
      <c r="AB47" s="73">
        <v>1.1100000000000001</v>
      </c>
      <c r="AC47">
        <v>1</v>
      </c>
      <c r="AD47">
        <v>1</v>
      </c>
      <c r="AE47">
        <v>1.1100000000000001</v>
      </c>
      <c r="AF47" s="74">
        <v>16.100000000000001</v>
      </c>
      <c r="AH47" s="98" t="s">
        <v>845</v>
      </c>
      <c r="AI47" s="219">
        <v>7</v>
      </c>
    </row>
    <row r="48" spans="1:35" x14ac:dyDescent="0.3">
      <c r="M48" t="s">
        <v>93</v>
      </c>
      <c r="N48">
        <v>130</v>
      </c>
      <c r="O48">
        <v>0.48</v>
      </c>
      <c r="P48">
        <v>0.82</v>
      </c>
      <c r="Q48">
        <v>1</v>
      </c>
      <c r="R48">
        <v>1</v>
      </c>
      <c r="S48" s="69">
        <v>1.1499999999999999</v>
      </c>
      <c r="T48" s="69">
        <v>1.22</v>
      </c>
      <c r="U48" s="69">
        <v>1.17</v>
      </c>
      <c r="V48">
        <v>1</v>
      </c>
      <c r="W48">
        <v>0.97</v>
      </c>
      <c r="X48">
        <v>0.7</v>
      </c>
      <c r="Y48" s="57">
        <v>0.92</v>
      </c>
      <c r="Z48">
        <v>1</v>
      </c>
      <c r="AA48" s="71">
        <v>1.44</v>
      </c>
      <c r="AB48" s="73">
        <v>1.1100000000000001</v>
      </c>
      <c r="AC48">
        <v>1</v>
      </c>
      <c r="AD48">
        <v>1</v>
      </c>
      <c r="AE48">
        <v>1.1100000000000001</v>
      </c>
      <c r="AF48" s="74">
        <v>16.100000000000001</v>
      </c>
      <c r="AH48" s="98" t="s">
        <v>843</v>
      </c>
      <c r="AI48" s="113">
        <f>AVERAGE(1.8,5)</f>
        <v>3.4</v>
      </c>
    </row>
    <row r="49" spans="13:35" x14ac:dyDescent="0.3">
      <c r="M49" t="s">
        <v>94</v>
      </c>
      <c r="N49">
        <v>86</v>
      </c>
      <c r="O49">
        <v>0.48</v>
      </c>
      <c r="P49">
        <v>0.82</v>
      </c>
      <c r="Q49">
        <v>1</v>
      </c>
      <c r="R49">
        <v>1</v>
      </c>
      <c r="S49" s="69">
        <v>1.1499999999999999</v>
      </c>
      <c r="T49" s="69">
        <v>1.22</v>
      </c>
      <c r="U49" s="69">
        <v>1.17</v>
      </c>
      <c r="V49">
        <v>1</v>
      </c>
      <c r="W49">
        <v>0.97</v>
      </c>
      <c r="X49">
        <v>0.7</v>
      </c>
      <c r="Y49" s="57">
        <v>0.92</v>
      </c>
      <c r="Z49">
        <v>1</v>
      </c>
      <c r="AA49" s="71">
        <v>1.44</v>
      </c>
      <c r="AB49" s="73">
        <v>1.1100000000000001</v>
      </c>
      <c r="AC49">
        <v>1</v>
      </c>
      <c r="AD49">
        <v>1</v>
      </c>
      <c r="AE49">
        <v>1.1100000000000001</v>
      </c>
      <c r="AF49" s="74">
        <v>16.100000000000001</v>
      </c>
      <c r="AH49" s="98" t="s">
        <v>844</v>
      </c>
      <c r="AI49" s="219">
        <v>11</v>
      </c>
    </row>
    <row r="50" spans="13:35" x14ac:dyDescent="0.3">
      <c r="M50" t="s">
        <v>113</v>
      </c>
      <c r="N50">
        <v>38</v>
      </c>
      <c r="O50">
        <v>0.8</v>
      </c>
      <c r="P50">
        <v>0.93</v>
      </c>
      <c r="Q50">
        <v>1</v>
      </c>
      <c r="R50">
        <v>1</v>
      </c>
      <c r="S50">
        <v>1.02</v>
      </c>
      <c r="T50">
        <v>1.1000000000000001</v>
      </c>
      <c r="U50">
        <v>1.1399999999999999</v>
      </c>
      <c r="V50">
        <v>1</v>
      </c>
      <c r="W50">
        <v>0.95</v>
      </c>
      <c r="X50">
        <v>0.7</v>
      </c>
      <c r="Y50">
        <v>0.95</v>
      </c>
      <c r="Z50">
        <v>1</v>
      </c>
      <c r="AA50">
        <v>1.37</v>
      </c>
      <c r="AB50">
        <v>1.04</v>
      </c>
      <c r="AC50">
        <v>1</v>
      </c>
      <c r="AD50">
        <v>1</v>
      </c>
      <c r="AE50">
        <v>1.1100000000000001</v>
      </c>
      <c r="AF50">
        <v>6.1</v>
      </c>
      <c r="AH50" s="64" t="s">
        <v>848</v>
      </c>
      <c r="AI50" s="219">
        <v>4</v>
      </c>
    </row>
    <row r="51" spans="13:35" x14ac:dyDescent="0.3">
      <c r="M51" t="s">
        <v>114</v>
      </c>
      <c r="N51">
        <v>24</v>
      </c>
      <c r="O51">
        <v>0.8</v>
      </c>
      <c r="P51">
        <v>0.93</v>
      </c>
      <c r="Q51">
        <v>1</v>
      </c>
      <c r="R51">
        <v>1</v>
      </c>
      <c r="S51">
        <v>1.02</v>
      </c>
      <c r="T51">
        <v>1.1000000000000001</v>
      </c>
      <c r="U51">
        <v>1.1399999999999999</v>
      </c>
      <c r="V51">
        <v>1</v>
      </c>
      <c r="W51">
        <v>0.95</v>
      </c>
      <c r="X51">
        <v>0.7</v>
      </c>
      <c r="Y51">
        <v>0.95</v>
      </c>
      <c r="Z51">
        <v>1</v>
      </c>
      <c r="AA51">
        <v>1.37</v>
      </c>
      <c r="AB51">
        <v>1.04</v>
      </c>
      <c r="AC51">
        <v>1</v>
      </c>
      <c r="AD51">
        <v>1</v>
      </c>
      <c r="AE51">
        <v>1.1100000000000001</v>
      </c>
      <c r="AF51">
        <v>6.1</v>
      </c>
      <c r="AH51" s="208" t="s">
        <v>847</v>
      </c>
      <c r="AI51" s="219">
        <v>4</v>
      </c>
    </row>
    <row r="52" spans="13:35" x14ac:dyDescent="0.3">
      <c r="M52" t="s">
        <v>115</v>
      </c>
      <c r="N52">
        <v>19</v>
      </c>
      <c r="O52">
        <v>0.8</v>
      </c>
      <c r="P52">
        <v>0.93</v>
      </c>
      <c r="Q52">
        <v>1</v>
      </c>
      <c r="R52">
        <v>1</v>
      </c>
      <c r="S52">
        <v>1.02</v>
      </c>
      <c r="T52">
        <v>1.1000000000000001</v>
      </c>
      <c r="U52">
        <v>1.1399999999999999</v>
      </c>
      <c r="V52">
        <v>1</v>
      </c>
      <c r="W52">
        <v>0.95</v>
      </c>
      <c r="X52">
        <v>0.7</v>
      </c>
      <c r="Y52">
        <v>0.95</v>
      </c>
      <c r="Z52">
        <v>1</v>
      </c>
      <c r="AA52">
        <v>1.37</v>
      </c>
      <c r="AB52">
        <v>1.04</v>
      </c>
      <c r="AC52">
        <v>1</v>
      </c>
      <c r="AD52">
        <v>1</v>
      </c>
      <c r="AE52">
        <v>1.1100000000000001</v>
      </c>
      <c r="AF52">
        <v>6.1</v>
      </c>
      <c r="AH52" s="211" t="s">
        <v>862</v>
      </c>
      <c r="AI52" s="219">
        <v>1.1000000000000001</v>
      </c>
    </row>
    <row r="53" spans="13:35" x14ac:dyDescent="0.3">
      <c r="M53" t="s">
        <v>116</v>
      </c>
      <c r="N53">
        <v>0</v>
      </c>
      <c r="O53">
        <v>0.8</v>
      </c>
      <c r="P53">
        <v>0.93</v>
      </c>
      <c r="Q53">
        <v>1</v>
      </c>
      <c r="R53">
        <v>1</v>
      </c>
      <c r="S53">
        <v>1.02</v>
      </c>
      <c r="T53">
        <v>1.1000000000000001</v>
      </c>
      <c r="U53">
        <v>1.1399999999999999</v>
      </c>
      <c r="V53">
        <v>1</v>
      </c>
      <c r="W53">
        <v>0.95</v>
      </c>
      <c r="X53">
        <v>0.7</v>
      </c>
      <c r="Y53">
        <v>0.95</v>
      </c>
      <c r="Z53">
        <v>1</v>
      </c>
      <c r="AA53">
        <v>1.37</v>
      </c>
      <c r="AB53">
        <v>1.04</v>
      </c>
      <c r="AC53">
        <v>1</v>
      </c>
      <c r="AD53">
        <v>1</v>
      </c>
      <c r="AE53">
        <v>1.1100000000000001</v>
      </c>
      <c r="AF53">
        <v>6.1</v>
      </c>
      <c r="AH53" s="211" t="s">
        <v>861</v>
      </c>
      <c r="AI53" s="219">
        <v>1.1000000000000001</v>
      </c>
    </row>
    <row r="54" spans="13:35" x14ac:dyDescent="0.3">
      <c r="M54" t="s">
        <v>117</v>
      </c>
      <c r="N54">
        <v>70</v>
      </c>
      <c r="O54">
        <v>0.8</v>
      </c>
      <c r="P54">
        <v>0.93</v>
      </c>
      <c r="Q54">
        <v>1</v>
      </c>
      <c r="R54">
        <v>1</v>
      </c>
      <c r="S54">
        <v>1.02</v>
      </c>
      <c r="T54">
        <v>1.1000000000000001</v>
      </c>
      <c r="U54">
        <v>1.1399999999999999</v>
      </c>
      <c r="V54">
        <v>1</v>
      </c>
      <c r="W54">
        <v>0.95</v>
      </c>
      <c r="X54">
        <v>0.7</v>
      </c>
      <c r="Y54">
        <v>0.95</v>
      </c>
      <c r="Z54">
        <v>1</v>
      </c>
      <c r="AA54">
        <v>1.37</v>
      </c>
      <c r="AB54">
        <v>1.04</v>
      </c>
      <c r="AC54">
        <v>1</v>
      </c>
      <c r="AD54">
        <v>1</v>
      </c>
      <c r="AE54">
        <v>1.1100000000000001</v>
      </c>
      <c r="AF54">
        <v>6.1</v>
      </c>
      <c r="AH54" s="211" t="s">
        <v>860</v>
      </c>
      <c r="AI54" s="219">
        <v>4</v>
      </c>
    </row>
    <row r="55" spans="13:35" x14ac:dyDescent="0.3">
      <c r="M55" t="s">
        <v>118</v>
      </c>
      <c r="N55">
        <v>88</v>
      </c>
      <c r="O55">
        <v>0.8</v>
      </c>
      <c r="P55">
        <v>0.93</v>
      </c>
      <c r="Q55">
        <v>1</v>
      </c>
      <c r="R55">
        <v>1</v>
      </c>
      <c r="S55">
        <v>1.02</v>
      </c>
      <c r="T55">
        <v>1.1000000000000001</v>
      </c>
      <c r="U55">
        <v>1.1399999999999999</v>
      </c>
      <c r="V55">
        <v>1</v>
      </c>
      <c r="W55">
        <v>0.95</v>
      </c>
      <c r="X55">
        <v>0.7</v>
      </c>
      <c r="Y55">
        <v>0.95</v>
      </c>
      <c r="Z55">
        <v>1</v>
      </c>
      <c r="AA55">
        <v>1.37</v>
      </c>
      <c r="AB55">
        <v>1.04</v>
      </c>
      <c r="AC55">
        <v>1</v>
      </c>
      <c r="AD55">
        <v>1</v>
      </c>
      <c r="AE55">
        <v>1.1100000000000001</v>
      </c>
      <c r="AF55">
        <v>6.1</v>
      </c>
      <c r="AH55" s="209" t="s">
        <v>859</v>
      </c>
      <c r="AI55" s="219">
        <v>4</v>
      </c>
    </row>
    <row r="56" spans="13:35" x14ac:dyDescent="0.3">
      <c r="M56" t="s">
        <v>107</v>
      </c>
      <c r="N56">
        <v>88</v>
      </c>
      <c r="O56">
        <v>0.69</v>
      </c>
      <c r="P56">
        <v>0.82</v>
      </c>
      <c r="Q56">
        <v>1</v>
      </c>
      <c r="R56">
        <v>1</v>
      </c>
      <c r="S56">
        <v>1.08</v>
      </c>
      <c r="T56">
        <v>1.1499999999999999</v>
      </c>
      <c r="U56">
        <v>1.1399999999999999</v>
      </c>
      <c r="V56">
        <v>1</v>
      </c>
      <c r="W56">
        <v>0.95</v>
      </c>
      <c r="X56">
        <v>0.7</v>
      </c>
      <c r="Y56">
        <v>0.92</v>
      </c>
      <c r="Z56">
        <v>1</v>
      </c>
      <c r="AA56">
        <v>1.44</v>
      </c>
      <c r="AB56">
        <v>1.1100000000000001</v>
      </c>
      <c r="AC56">
        <v>1</v>
      </c>
      <c r="AD56">
        <v>1</v>
      </c>
      <c r="AE56">
        <v>1.1100000000000001</v>
      </c>
      <c r="AF56">
        <v>13.5</v>
      </c>
      <c r="AH56" s="57" t="s">
        <v>856</v>
      </c>
      <c r="AI56" s="219">
        <v>6</v>
      </c>
    </row>
    <row r="57" spans="13:35" x14ac:dyDescent="0.3">
      <c r="M57" t="s">
        <v>108</v>
      </c>
      <c r="N57">
        <v>63</v>
      </c>
      <c r="O57">
        <v>0.69</v>
      </c>
      <c r="P57">
        <v>0.82</v>
      </c>
      <c r="Q57">
        <v>1</v>
      </c>
      <c r="R57">
        <v>1</v>
      </c>
      <c r="S57">
        <v>1.08</v>
      </c>
      <c r="T57">
        <v>1.1499999999999999</v>
      </c>
      <c r="U57">
        <v>1.1399999999999999</v>
      </c>
      <c r="V57">
        <v>1</v>
      </c>
      <c r="W57">
        <v>0.95</v>
      </c>
      <c r="X57">
        <v>0.7</v>
      </c>
      <c r="Y57">
        <v>0.92</v>
      </c>
      <c r="Z57">
        <v>1</v>
      </c>
      <c r="AA57">
        <v>1.44</v>
      </c>
      <c r="AB57">
        <v>1.1100000000000001</v>
      </c>
      <c r="AC57">
        <v>1</v>
      </c>
      <c r="AD57">
        <v>1</v>
      </c>
      <c r="AE57">
        <v>1.1100000000000001</v>
      </c>
      <c r="AF57">
        <v>13.5</v>
      </c>
      <c r="AH57" s="98" t="s">
        <v>855</v>
      </c>
      <c r="AI57" s="219">
        <v>9</v>
      </c>
    </row>
    <row r="58" spans="13:35" x14ac:dyDescent="0.3">
      <c r="M58" t="s">
        <v>109</v>
      </c>
      <c r="N58">
        <v>34</v>
      </c>
      <c r="O58">
        <v>0.69</v>
      </c>
      <c r="P58">
        <v>0.82</v>
      </c>
      <c r="Q58">
        <v>1</v>
      </c>
      <c r="R58">
        <v>1</v>
      </c>
      <c r="S58">
        <v>1.08</v>
      </c>
      <c r="T58">
        <v>1.1499999999999999</v>
      </c>
      <c r="U58">
        <v>1.1399999999999999</v>
      </c>
      <c r="V58">
        <v>1</v>
      </c>
      <c r="W58">
        <v>0.95</v>
      </c>
      <c r="X58">
        <v>0.7</v>
      </c>
      <c r="Y58">
        <v>0.92</v>
      </c>
      <c r="Z58">
        <v>1</v>
      </c>
      <c r="AA58">
        <v>1.44</v>
      </c>
      <c r="AB58">
        <v>1.1100000000000001</v>
      </c>
      <c r="AC58">
        <v>1</v>
      </c>
      <c r="AD58">
        <v>1</v>
      </c>
      <c r="AE58">
        <v>1.1100000000000001</v>
      </c>
      <c r="AF58">
        <v>13.5</v>
      </c>
      <c r="AH58" s="98" t="s">
        <v>853</v>
      </c>
      <c r="AI58" s="219">
        <f>AVERAGE(1,5)</f>
        <v>3</v>
      </c>
    </row>
    <row r="59" spans="13:35" x14ac:dyDescent="0.3">
      <c r="M59" t="s">
        <v>110</v>
      </c>
      <c r="N59">
        <v>0</v>
      </c>
      <c r="O59">
        <v>0.69</v>
      </c>
      <c r="P59">
        <v>0.82</v>
      </c>
      <c r="Q59">
        <v>1</v>
      </c>
      <c r="R59">
        <v>1</v>
      </c>
      <c r="S59">
        <v>1.08</v>
      </c>
      <c r="T59">
        <v>1.1499999999999999</v>
      </c>
      <c r="U59">
        <v>1.1399999999999999</v>
      </c>
      <c r="V59">
        <v>1</v>
      </c>
      <c r="W59">
        <v>0.95</v>
      </c>
      <c r="X59">
        <v>0.7</v>
      </c>
      <c r="Y59">
        <v>0.92</v>
      </c>
      <c r="Z59">
        <v>1</v>
      </c>
      <c r="AA59">
        <v>1.44</v>
      </c>
      <c r="AB59">
        <v>1.1100000000000001</v>
      </c>
      <c r="AC59">
        <v>1</v>
      </c>
      <c r="AD59">
        <v>1</v>
      </c>
      <c r="AE59">
        <v>1.1100000000000001</v>
      </c>
      <c r="AF59">
        <v>13.5</v>
      </c>
      <c r="AH59" s="98" t="s">
        <v>854</v>
      </c>
      <c r="AI59" s="219">
        <v>13</v>
      </c>
    </row>
    <row r="60" spans="13:35" x14ac:dyDescent="0.3">
      <c r="M60" t="s">
        <v>111</v>
      </c>
      <c r="N60">
        <v>80</v>
      </c>
      <c r="O60">
        <v>0.69</v>
      </c>
      <c r="P60">
        <v>0.82</v>
      </c>
      <c r="Q60">
        <v>1</v>
      </c>
      <c r="R60">
        <v>1</v>
      </c>
      <c r="S60">
        <v>1.08</v>
      </c>
      <c r="T60">
        <v>1.1499999999999999</v>
      </c>
      <c r="U60">
        <v>1.1399999999999999</v>
      </c>
      <c r="V60">
        <v>1</v>
      </c>
      <c r="W60">
        <v>0.95</v>
      </c>
      <c r="X60">
        <v>0.7</v>
      </c>
      <c r="Y60">
        <v>0.92</v>
      </c>
      <c r="Z60">
        <v>1</v>
      </c>
      <c r="AA60">
        <v>1.44</v>
      </c>
      <c r="AB60">
        <v>1.1100000000000001</v>
      </c>
      <c r="AC60">
        <v>1</v>
      </c>
      <c r="AD60">
        <v>1</v>
      </c>
      <c r="AE60">
        <v>1.1100000000000001</v>
      </c>
      <c r="AF60">
        <v>13.5</v>
      </c>
      <c r="AH60" s="64" t="s">
        <v>858</v>
      </c>
      <c r="AI60" s="219">
        <v>4</v>
      </c>
    </row>
    <row r="61" spans="13:35" x14ac:dyDescent="0.3">
      <c r="M61" t="s">
        <v>112</v>
      </c>
      <c r="N61">
        <v>88</v>
      </c>
      <c r="O61">
        <v>0.69</v>
      </c>
      <c r="P61">
        <v>0.82</v>
      </c>
      <c r="Q61">
        <v>1</v>
      </c>
      <c r="R61">
        <v>1</v>
      </c>
      <c r="S61">
        <v>1.08</v>
      </c>
      <c r="T61">
        <v>1.1499999999999999</v>
      </c>
      <c r="U61">
        <v>1.1399999999999999</v>
      </c>
      <c r="V61">
        <v>1</v>
      </c>
      <c r="W61">
        <v>0.95</v>
      </c>
      <c r="X61">
        <v>0.7</v>
      </c>
      <c r="Y61">
        <v>0.92</v>
      </c>
      <c r="Z61">
        <v>1</v>
      </c>
      <c r="AA61">
        <v>1.44</v>
      </c>
      <c r="AB61">
        <v>1.1100000000000001</v>
      </c>
      <c r="AC61">
        <v>1</v>
      </c>
      <c r="AD61">
        <v>1</v>
      </c>
      <c r="AE61">
        <v>1.1100000000000001</v>
      </c>
      <c r="AF61">
        <v>13.5</v>
      </c>
      <c r="AH61" s="208" t="s">
        <v>857</v>
      </c>
      <c r="AI61" s="219">
        <v>4</v>
      </c>
    </row>
    <row r="62" spans="13:35" x14ac:dyDescent="0.3">
      <c r="AH62" s="211" t="s">
        <v>872</v>
      </c>
      <c r="AI62" s="219">
        <v>1.1000000000000001</v>
      </c>
    </row>
    <row r="63" spans="13:35" x14ac:dyDescent="0.3">
      <c r="AH63" s="211" t="s">
        <v>871</v>
      </c>
      <c r="AI63" s="219">
        <v>1.1000000000000001</v>
      </c>
    </row>
    <row r="64" spans="13:35" x14ac:dyDescent="0.3">
      <c r="AH64" s="211" t="s">
        <v>870</v>
      </c>
      <c r="AI64" s="219">
        <v>4</v>
      </c>
    </row>
    <row r="65" spans="34:35" x14ac:dyDescent="0.3">
      <c r="AH65" s="209" t="s">
        <v>869</v>
      </c>
      <c r="AI65" s="219">
        <v>4</v>
      </c>
    </row>
    <row r="66" spans="34:35" x14ac:dyDescent="0.3">
      <c r="AH66" s="57" t="s">
        <v>866</v>
      </c>
      <c r="AI66" s="219">
        <v>4</v>
      </c>
    </row>
    <row r="67" spans="34:35" x14ac:dyDescent="0.3">
      <c r="AH67" s="98" t="s">
        <v>865</v>
      </c>
      <c r="AI67" s="219">
        <v>7</v>
      </c>
    </row>
    <row r="68" spans="34:35" x14ac:dyDescent="0.3">
      <c r="AH68" s="98" t="s">
        <v>863</v>
      </c>
      <c r="AI68" s="113">
        <f>AVERAGE(1,5)</f>
        <v>3</v>
      </c>
    </row>
    <row r="69" spans="34:35" x14ac:dyDescent="0.3">
      <c r="AH69" s="98" t="s">
        <v>864</v>
      </c>
      <c r="AI69" s="113">
        <f>AVERAGE(0.9,18)</f>
        <v>9.4499999999999993</v>
      </c>
    </row>
    <row r="70" spans="34:35" x14ac:dyDescent="0.3">
      <c r="AH70" s="64" t="s">
        <v>868</v>
      </c>
      <c r="AI70" s="219">
        <v>4</v>
      </c>
    </row>
    <row r="71" spans="34:35" x14ac:dyDescent="0.3">
      <c r="AH71" s="208" t="s">
        <v>867</v>
      </c>
      <c r="AI71" s="219">
        <v>4</v>
      </c>
    </row>
    <row r="72" spans="34:35" x14ac:dyDescent="0.3">
      <c r="AH72" s="211" t="s">
        <v>882</v>
      </c>
      <c r="AI72" s="219">
        <v>1.1000000000000001</v>
      </c>
    </row>
    <row r="73" spans="34:35" x14ac:dyDescent="0.3">
      <c r="AH73" s="211" t="s">
        <v>881</v>
      </c>
      <c r="AI73" s="219">
        <v>1.1000000000000001</v>
      </c>
    </row>
    <row r="74" spans="34:35" x14ac:dyDescent="0.3">
      <c r="AH74" s="211" t="s">
        <v>880</v>
      </c>
      <c r="AI74" s="219">
        <v>4</v>
      </c>
    </row>
    <row r="75" spans="34:35" x14ac:dyDescent="0.3">
      <c r="AH75" s="209" t="s">
        <v>879</v>
      </c>
      <c r="AI75" s="219">
        <v>4</v>
      </c>
    </row>
    <row r="76" spans="34:35" x14ac:dyDescent="0.3">
      <c r="AH76" s="57" t="s">
        <v>876</v>
      </c>
      <c r="AI76" s="219">
        <v>7</v>
      </c>
    </row>
    <row r="77" spans="34:35" x14ac:dyDescent="0.3">
      <c r="AH77" s="98" t="s">
        <v>875</v>
      </c>
      <c r="AI77" s="219">
        <v>11</v>
      </c>
    </row>
    <row r="78" spans="34:35" x14ac:dyDescent="0.3">
      <c r="AH78" s="98" t="s">
        <v>873</v>
      </c>
      <c r="AI78" s="219">
        <f>AVERAGE(3,12)</f>
        <v>7.5</v>
      </c>
    </row>
    <row r="79" spans="34:35" x14ac:dyDescent="0.3">
      <c r="AH79" s="98" t="s">
        <v>874</v>
      </c>
      <c r="AI79" s="219">
        <v>13</v>
      </c>
    </row>
    <row r="80" spans="34:35" x14ac:dyDescent="0.3">
      <c r="AH80" s="64" t="s">
        <v>878</v>
      </c>
      <c r="AI80" s="219">
        <v>4</v>
      </c>
    </row>
    <row r="81" spans="34:35" x14ac:dyDescent="0.3">
      <c r="AH81" s="208" t="s">
        <v>877</v>
      </c>
      <c r="AI81" s="219">
        <v>4</v>
      </c>
    </row>
    <row r="82" spans="34:35" x14ac:dyDescent="0.3">
      <c r="AH82" s="211" t="s">
        <v>891</v>
      </c>
      <c r="AI82" s="113">
        <v>1.1000000000000001</v>
      </c>
    </row>
    <row r="83" spans="34:35" x14ac:dyDescent="0.3">
      <c r="AH83" s="211" t="s">
        <v>890</v>
      </c>
      <c r="AI83" s="113">
        <v>1.1000000000000001</v>
      </c>
    </row>
    <row r="84" spans="34:35" x14ac:dyDescent="0.3">
      <c r="AH84" s="211" t="s">
        <v>889</v>
      </c>
      <c r="AI84" s="113">
        <v>4</v>
      </c>
    </row>
    <row r="85" spans="34:35" x14ac:dyDescent="0.3">
      <c r="AH85" s="209" t="s">
        <v>888</v>
      </c>
      <c r="AI85" s="113">
        <v>4</v>
      </c>
    </row>
    <row r="86" spans="34:35" x14ac:dyDescent="0.3">
      <c r="AH86" s="57" t="s">
        <v>885</v>
      </c>
      <c r="AI86" s="219">
        <v>4</v>
      </c>
    </row>
    <row r="87" spans="34:35" x14ac:dyDescent="0.3">
      <c r="AH87" s="98" t="s">
        <v>884</v>
      </c>
      <c r="AI87" s="219">
        <v>7</v>
      </c>
    </row>
    <row r="88" spans="34:35" x14ac:dyDescent="0.3">
      <c r="AH88" s="98" t="s">
        <v>892</v>
      </c>
      <c r="AI88" s="219">
        <f>AVERAGE(1.8,5)</f>
        <v>3.4</v>
      </c>
    </row>
    <row r="89" spans="34:35" x14ac:dyDescent="0.3">
      <c r="AH89" s="98" t="s">
        <v>883</v>
      </c>
      <c r="AI89" s="219">
        <f>0.9</f>
        <v>0.9</v>
      </c>
    </row>
    <row r="90" spans="34:35" x14ac:dyDescent="0.3">
      <c r="AH90" s="64" t="s">
        <v>887</v>
      </c>
      <c r="AI90" s="113">
        <v>4</v>
      </c>
    </row>
    <row r="91" spans="34:35" x14ac:dyDescent="0.3">
      <c r="AH91" s="208" t="s">
        <v>886</v>
      </c>
      <c r="AI91" s="113">
        <v>4</v>
      </c>
    </row>
  </sheetData>
  <sortState ref="AH2:AI91">
    <sortCondition ref="AH2:AH91"/>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C23449BAF7D54F80D35D148FB0E4AA" ma:contentTypeVersion="0" ma:contentTypeDescription="Create a new document." ma:contentTypeScope="" ma:versionID="12170d2a061a4e19868836cbeb88f2b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C904B6-13FA-4D00-8EF4-E44A4FDDB7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02AEBF4-ACF1-4C8A-95C0-678ABC6C6CC0}">
  <ds:schemaRefs>
    <ds:schemaRef ds:uri="http://purl.org/dc/elements/1.1/"/>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17C8883-E26C-4774-9D76-40DC8C313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Coversheet</vt:lpstr>
      <vt:lpstr>Purpose and Applicability</vt:lpstr>
      <vt:lpstr>T-XANTE</vt:lpstr>
      <vt:lpstr>BIOTIC</vt:lpstr>
      <vt:lpstr>ENTERIC</vt:lpstr>
      <vt:lpstr>MANURE</vt:lpstr>
      <vt:lpstr>FERTILIZER</vt:lpstr>
      <vt:lpstr>FOSSIL FUEL</vt:lpstr>
      <vt:lpstr>Biotic Data</vt:lpstr>
      <vt:lpstr>Fertilizer Data</vt:lpstr>
      <vt:lpstr>Enteric Data</vt:lpstr>
      <vt:lpstr>Manure Data</vt:lpstr>
      <vt:lpstr>Fossil Fuel Data</vt:lpstr>
      <vt:lpstr>ClimateRegions</vt:lpstr>
      <vt:lpstr>CropInputs1</vt:lpstr>
      <vt:lpstr>CropMgmt1</vt:lpstr>
      <vt:lpstr>GeographicRegions</vt:lpstr>
      <vt:lpstr>GrassInputs1</vt:lpstr>
      <vt:lpstr>GrassMgmt1</vt:lpstr>
      <vt:lpstr>LandCover</vt:lpstr>
      <vt:lpstr>LandCoverType</vt:lpstr>
      <vt:lpstr>SoilTypes</vt:lpstr>
      <vt:lpstr>TreePlanting</vt:lpstr>
    </vt:vector>
  </TitlesOfParts>
  <Company>Winrock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Timothy Pearson</dc:creator>
  <cp:lastModifiedBy>LNichols</cp:lastModifiedBy>
  <dcterms:created xsi:type="dcterms:W3CDTF">2012-07-11T16:21:36Z</dcterms:created>
  <dcterms:modified xsi:type="dcterms:W3CDTF">2014-09-29T05:17:59Z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0x01010017C23449BAF7D54F80D35D148FB0E4AA</vt:lpwstr>
  </property>
</Properties>
</file>