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rockintl-my.sharepoint.com/personal/brad_kahn_winrock_org/Documents/ACR Files/Website/Document Updates/"/>
    </mc:Choice>
  </mc:AlternateContent>
  <xr:revisionPtr revIDLastSave="0" documentId="8_{2F3AF542-ECE7-C447-AFE5-BD82A93E06F9}" xr6:coauthVersionLast="47" xr6:coauthVersionMax="47" xr10:uidLastSave="{00000000-0000-0000-0000-000000000000}"/>
  <bookViews>
    <workbookView xWindow="12320" yWindow="500" windowWidth="26760" windowHeight="14520" xr2:uid="{00000000-000D-0000-FFFF-FFFF00000000}"/>
  </bookViews>
  <sheets>
    <sheet name="Title and Version" sheetId="17" r:id="rId1"/>
    <sheet name="Example A-No Harvest Project" sheetId="13" r:id="rId2"/>
    <sheet name="Example B-Light Harvest Project" sheetId="19" r:id="rId3"/>
    <sheet name="Graph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9" l="1"/>
  <c r="E60" i="19"/>
  <c r="I32" i="19"/>
  <c r="H32" i="19"/>
  <c r="E32" i="19"/>
  <c r="X32" i="19"/>
  <c r="G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F32" i="19"/>
  <c r="E32" i="13"/>
  <c r="F45" i="13" l="1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E38" i="13"/>
  <c r="E31" i="13"/>
  <c r="E30" i="13"/>
  <c r="E42" i="19" l="1"/>
  <c r="D41" i="19"/>
  <c r="D41" i="13"/>
  <c r="D40" i="13"/>
  <c r="D40" i="19"/>
  <c r="E31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D71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D69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E29" i="19"/>
  <c r="E27" i="19"/>
  <c r="N40" i="19" s="1"/>
  <c r="E20" i="19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G40" i="19" l="1"/>
  <c r="H40" i="19"/>
  <c r="I40" i="19"/>
  <c r="J40" i="19"/>
  <c r="O40" i="19"/>
  <c r="X40" i="19"/>
  <c r="K40" i="19"/>
  <c r="W40" i="19"/>
  <c r="P40" i="19"/>
  <c r="F29" i="19"/>
  <c r="G29" i="19" s="1"/>
  <c r="H29" i="19" s="1"/>
  <c r="I29" i="19" s="1"/>
  <c r="J29" i="19" s="1"/>
  <c r="K29" i="19" s="1"/>
  <c r="L29" i="19" s="1"/>
  <c r="M29" i="19" s="1"/>
  <c r="N29" i="19" s="1"/>
  <c r="O29" i="19" s="1"/>
  <c r="P29" i="19" s="1"/>
  <c r="Q29" i="19" s="1"/>
  <c r="R29" i="19" s="1"/>
  <c r="S29" i="19" s="1"/>
  <c r="T29" i="19" s="1"/>
  <c r="U29" i="19" s="1"/>
  <c r="V29" i="19" s="1"/>
  <c r="W29" i="19" s="1"/>
  <c r="X29" i="19" s="1"/>
  <c r="Q40" i="19"/>
  <c r="R40" i="19"/>
  <c r="E30" i="19"/>
  <c r="T40" i="19"/>
  <c r="S40" i="19"/>
  <c r="E40" i="19"/>
  <c r="U40" i="19"/>
  <c r="F40" i="19"/>
  <c r="V40" i="19"/>
  <c r="F27" i="19"/>
  <c r="G27" i="19" s="1"/>
  <c r="H27" i="19" s="1"/>
  <c r="I27" i="19" s="1"/>
  <c r="J27" i="19" s="1"/>
  <c r="K27" i="19" s="1"/>
  <c r="L27" i="19" s="1"/>
  <c r="M27" i="19" s="1"/>
  <c r="N27" i="19" s="1"/>
  <c r="O27" i="19" s="1"/>
  <c r="P27" i="19" s="1"/>
  <c r="Q27" i="19" s="1"/>
  <c r="R27" i="19" s="1"/>
  <c r="S27" i="19" s="1"/>
  <c r="T27" i="19" s="1"/>
  <c r="U27" i="19" s="1"/>
  <c r="V27" i="19" s="1"/>
  <c r="W27" i="19" s="1"/>
  <c r="X27" i="19" s="1"/>
  <c r="M40" i="19"/>
  <c r="L40" i="19"/>
  <c r="W41" i="13"/>
  <c r="S41" i="13"/>
  <c r="P41" i="13"/>
  <c r="Q41" i="13"/>
  <c r="R41" i="13"/>
  <c r="T41" i="13"/>
  <c r="U41" i="13"/>
  <c r="V41" i="13"/>
  <c r="X41" i="13"/>
  <c r="O41" i="13"/>
  <c r="E41" i="13"/>
  <c r="E29" i="13"/>
  <c r="E42" i="13" l="1"/>
  <c r="E43" i="13" s="1"/>
  <c r="E45" i="13" s="1"/>
  <c r="F30" i="19"/>
  <c r="G30" i="19" s="1"/>
  <c r="H30" i="19" s="1"/>
  <c r="I30" i="19" s="1"/>
  <c r="J30" i="19" s="1"/>
  <c r="K30" i="19" s="1"/>
  <c r="L30" i="19" s="1"/>
  <c r="M30" i="19" s="1"/>
  <c r="N30" i="19" s="1"/>
  <c r="O30" i="19" s="1"/>
  <c r="P30" i="19" s="1"/>
  <c r="Q30" i="19" s="1"/>
  <c r="R30" i="19" s="1"/>
  <c r="S30" i="19" s="1"/>
  <c r="T30" i="19" s="1"/>
  <c r="U30" i="19" s="1"/>
  <c r="V30" i="19" s="1"/>
  <c r="W30" i="19" s="1"/>
  <c r="X30" i="19" s="1"/>
  <c r="F41" i="13"/>
  <c r="G41" i="13"/>
  <c r="H41" i="13"/>
  <c r="I41" i="13"/>
  <c r="J41" i="13"/>
  <c r="K41" i="13"/>
  <c r="L41" i="13"/>
  <c r="M41" i="13"/>
  <c r="N41" i="13"/>
  <c r="E46" i="13" l="1"/>
  <c r="E60" i="13"/>
  <c r="F31" i="19"/>
  <c r="E71" i="19"/>
  <c r="E49" i="13" l="1"/>
  <c r="E47" i="13"/>
  <c r="E48" i="13" s="1"/>
  <c r="E64" i="13"/>
  <c r="E63" i="13"/>
  <c r="E65" i="13" s="1"/>
  <c r="F71" i="19"/>
  <c r="G31" i="19"/>
  <c r="E43" i="19"/>
  <c r="E45" i="19" s="1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D70" i="13"/>
  <c r="D71" i="13"/>
  <c r="D69" i="13"/>
  <c r="E27" i="13"/>
  <c r="E66" i="13" l="1"/>
  <c r="H31" i="19"/>
  <c r="G71" i="19"/>
  <c r="H71" i="19" l="1"/>
  <c r="E59" i="19"/>
  <c r="E46" i="19"/>
  <c r="G42" i="19"/>
  <c r="G43" i="19" s="1"/>
  <c r="G45" i="19" s="1"/>
  <c r="I31" i="19"/>
  <c r="E63" i="19" l="1"/>
  <c r="H42" i="19"/>
  <c r="H43" i="19" s="1"/>
  <c r="H45" i="19" s="1"/>
  <c r="I71" i="19"/>
  <c r="J31" i="19"/>
  <c r="K31" i="19" s="1"/>
  <c r="E75" i="19"/>
  <c r="E61" i="19"/>
  <c r="E55" i="19"/>
  <c r="E47" i="19"/>
  <c r="E56" i="19" s="1"/>
  <c r="E50" i="19"/>
  <c r="E49" i="19"/>
  <c r="E65" i="19" l="1"/>
  <c r="E67" i="19" s="1"/>
  <c r="E66" i="19"/>
  <c r="E64" i="19"/>
  <c r="E48" i="19"/>
  <c r="E57" i="19" s="1"/>
  <c r="K42" i="19"/>
  <c r="K43" i="19" s="1"/>
  <c r="K45" i="19" s="1"/>
  <c r="G46" i="19"/>
  <c r="E68" i="19"/>
  <c r="E51" i="19"/>
  <c r="E53" i="19" s="1"/>
  <c r="K71" i="19"/>
  <c r="J71" i="19"/>
  <c r="E52" i="19"/>
  <c r="E54" i="19" s="1"/>
  <c r="I42" i="19"/>
  <c r="I43" i="19" s="1"/>
  <c r="I45" i="19" s="1"/>
  <c r="L31" i="19"/>
  <c r="G63" i="19" l="1"/>
  <c r="K60" i="19"/>
  <c r="G50" i="19"/>
  <c r="G49" i="19"/>
  <c r="G47" i="19"/>
  <c r="J42" i="19"/>
  <c r="J43" i="19" s="1"/>
  <c r="J45" i="19" s="1"/>
  <c r="H60" i="19"/>
  <c r="L71" i="19"/>
  <c r="M31" i="19"/>
  <c r="G66" i="19" l="1"/>
  <c r="G68" i="19" s="1"/>
  <c r="G65" i="19"/>
  <c r="G67" i="19" s="1"/>
  <c r="G64" i="19"/>
  <c r="G51" i="19"/>
  <c r="G53" i="19" s="1"/>
  <c r="J60" i="19"/>
  <c r="G48" i="19"/>
  <c r="G52" i="19"/>
  <c r="G54" i="19" s="1"/>
  <c r="M71" i="19"/>
  <c r="N31" i="19"/>
  <c r="L42" i="19"/>
  <c r="L43" i="19" s="1"/>
  <c r="L45" i="19" s="1"/>
  <c r="I60" i="19"/>
  <c r="N71" i="19" l="1"/>
  <c r="O31" i="19"/>
  <c r="M42" i="19"/>
  <c r="M43" i="19" s="1"/>
  <c r="M45" i="19" s="1"/>
  <c r="M60" i="19" l="1"/>
  <c r="P31" i="19"/>
  <c r="O71" i="19"/>
  <c r="N42" i="19"/>
  <c r="N43" i="19" s="1"/>
  <c r="N45" i="19" s="1"/>
  <c r="L60" i="19"/>
  <c r="Q31" i="19" l="1"/>
  <c r="P71" i="19"/>
  <c r="O42" i="19"/>
  <c r="O43" i="19" s="1"/>
  <c r="O45" i="19" s="1"/>
  <c r="D72" i="13"/>
  <c r="P42" i="19" l="1"/>
  <c r="P43" i="19" s="1"/>
  <c r="P45" i="19" s="1"/>
  <c r="Q71" i="19"/>
  <c r="R31" i="19"/>
  <c r="O60" i="19"/>
  <c r="N60" i="19"/>
  <c r="R71" i="19" l="1"/>
  <c r="S31" i="19"/>
  <c r="Q42" i="19"/>
  <c r="Q43" i="19" s="1"/>
  <c r="Q45" i="19" s="1"/>
  <c r="P60" i="19"/>
  <c r="S71" i="19" l="1"/>
  <c r="T31" i="19"/>
  <c r="R42" i="19"/>
  <c r="R43" i="19" s="1"/>
  <c r="R45" i="19" s="1"/>
  <c r="Q46" i="19" l="1"/>
  <c r="Q63" i="19" s="1"/>
  <c r="R60" i="19"/>
  <c r="T71" i="19"/>
  <c r="U31" i="19"/>
  <c r="S42" i="19"/>
  <c r="S43" i="19" s="1"/>
  <c r="S45" i="19" s="1"/>
  <c r="Q49" i="19" l="1"/>
  <c r="Q50" i="19"/>
  <c r="Q52" i="19" s="1"/>
  <c r="Q47" i="19"/>
  <c r="Q48" i="19" s="1"/>
  <c r="Q64" i="19"/>
  <c r="Q66" i="19"/>
  <c r="Q68" i="19" s="1"/>
  <c r="Q65" i="19"/>
  <c r="Q67" i="19" s="1"/>
  <c r="S60" i="19"/>
  <c r="Q51" i="19"/>
  <c r="Q53" i="19" s="1"/>
  <c r="U71" i="19"/>
  <c r="V31" i="19"/>
  <c r="T42" i="19"/>
  <c r="T43" i="19" s="1"/>
  <c r="T45" i="19" s="1"/>
  <c r="Q54" i="19" l="1"/>
  <c r="W31" i="19"/>
  <c r="V71" i="19"/>
  <c r="T60" i="19"/>
  <c r="U42" i="19"/>
  <c r="U43" i="19" s="1"/>
  <c r="U45" i="19" s="1"/>
  <c r="V42" i="19" l="1"/>
  <c r="V43" i="19" s="1"/>
  <c r="V45" i="19" s="1"/>
  <c r="X31" i="19"/>
  <c r="W71" i="19"/>
  <c r="W42" i="19" l="1"/>
  <c r="W43" i="19" s="1"/>
  <c r="W45" i="19" s="1"/>
  <c r="X71" i="19"/>
  <c r="U60" i="19"/>
  <c r="V60" i="19" l="1"/>
  <c r="X42" i="19"/>
  <c r="X43" i="19" s="1"/>
  <c r="X45" i="19" s="1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L38" i="13"/>
  <c r="H38" i="13" l="1"/>
  <c r="G38" i="13"/>
  <c r="X38" i="13"/>
  <c r="X60" i="19" l="1"/>
  <c r="H40" i="13"/>
  <c r="E40" i="13"/>
  <c r="T40" i="13"/>
  <c r="M40" i="13"/>
  <c r="G40" i="13"/>
  <c r="N40" i="13"/>
  <c r="W40" i="13"/>
  <c r="I40" i="13"/>
  <c r="L40" i="13"/>
  <c r="P40" i="13"/>
  <c r="S40" i="13"/>
  <c r="U40" i="13"/>
  <c r="J40" i="13"/>
  <c r="V40" i="13"/>
  <c r="O40" i="13"/>
  <c r="F40" i="13"/>
  <c r="X40" i="13"/>
  <c r="R40" i="13"/>
  <c r="K40" i="13"/>
  <c r="Q40" i="13"/>
  <c r="F30" i="13" l="1"/>
  <c r="F31" i="13" s="1"/>
  <c r="G31" i="13" s="1"/>
  <c r="F29" i="13"/>
  <c r="G29" i="13" s="1"/>
  <c r="H29" i="13" s="1"/>
  <c r="I29" i="13" s="1"/>
  <c r="J29" i="13" s="1"/>
  <c r="K29" i="13" s="1"/>
  <c r="L29" i="13" s="1"/>
  <c r="M29" i="13" s="1"/>
  <c r="N29" i="13" s="1"/>
  <c r="O29" i="13" s="1"/>
  <c r="P29" i="13" s="1"/>
  <c r="Q29" i="13" s="1"/>
  <c r="R29" i="13" s="1"/>
  <c r="S29" i="13" s="1"/>
  <c r="T29" i="13" s="1"/>
  <c r="U29" i="13" s="1"/>
  <c r="V29" i="13" s="1"/>
  <c r="W29" i="13" s="1"/>
  <c r="X29" i="13" s="1"/>
  <c r="F27" i="13"/>
  <c r="G30" i="13" l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W30" i="13" s="1"/>
  <c r="X30" i="13" s="1"/>
  <c r="E71" i="13"/>
  <c r="G32" i="13" l="1"/>
  <c r="F32" i="13"/>
  <c r="G71" i="13"/>
  <c r="F71" i="13"/>
  <c r="H31" i="13"/>
  <c r="H71" i="13" l="1"/>
  <c r="F42" i="13"/>
  <c r="G42" i="13"/>
  <c r="G43" i="13" s="1"/>
  <c r="H32" i="13"/>
  <c r="I31" i="13"/>
  <c r="G60" i="13" l="1"/>
  <c r="I71" i="13"/>
  <c r="H42" i="13"/>
  <c r="H43" i="13"/>
  <c r="J31" i="13"/>
  <c r="I32" i="13"/>
  <c r="I42" i="13" l="1"/>
  <c r="K31" i="13"/>
  <c r="L31" i="13" s="1"/>
  <c r="H60" i="13"/>
  <c r="K32" i="13"/>
  <c r="J71" i="13"/>
  <c r="M31" i="13"/>
  <c r="J32" i="13"/>
  <c r="K71" i="13"/>
  <c r="O38" i="13"/>
  <c r="E20" i="13"/>
  <c r="J42" i="13" l="1"/>
  <c r="N31" i="13"/>
  <c r="O31" i="13"/>
  <c r="K42" i="13"/>
  <c r="L32" i="13"/>
  <c r="L71" i="13"/>
  <c r="F20" i="13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K38" i="13"/>
  <c r="N38" i="13"/>
  <c r="F38" i="13"/>
  <c r="M38" i="13"/>
  <c r="I38" i="13"/>
  <c r="J38" i="13"/>
  <c r="P38" i="13"/>
  <c r="L42" i="13" l="1"/>
  <c r="P31" i="13"/>
  <c r="K43" i="13"/>
  <c r="J43" i="13"/>
  <c r="I43" i="13"/>
  <c r="F43" i="13"/>
  <c r="L43" i="13"/>
  <c r="N32" i="13"/>
  <c r="N71" i="13"/>
  <c r="M32" i="13"/>
  <c r="M71" i="13"/>
  <c r="Q38" i="13"/>
  <c r="R38" i="13"/>
  <c r="M42" i="13" l="1"/>
  <c r="N42" i="13"/>
  <c r="N43" i="13" s="1"/>
  <c r="Q31" i="13"/>
  <c r="R31" i="13" s="1"/>
  <c r="S31" i="13"/>
  <c r="T31" i="13" s="1"/>
  <c r="U31" i="13" s="1"/>
  <c r="V31" i="13" s="1"/>
  <c r="W31" i="13" s="1"/>
  <c r="X31" i="13" s="1"/>
  <c r="O32" i="13"/>
  <c r="O71" i="13"/>
  <c r="P32" i="13"/>
  <c r="P71" i="13"/>
  <c r="G27" i="13"/>
  <c r="S38" i="13"/>
  <c r="F60" i="13" l="1"/>
  <c r="L60" i="13"/>
  <c r="I60" i="13"/>
  <c r="P42" i="13"/>
  <c r="P43" i="13" s="1"/>
  <c r="O42" i="13"/>
  <c r="O43" i="13" s="1"/>
  <c r="K60" i="13"/>
  <c r="N60" i="13"/>
  <c r="J60" i="13"/>
  <c r="M43" i="13"/>
  <c r="Q32" i="13"/>
  <c r="Q71" i="13"/>
  <c r="H27" i="13"/>
  <c r="I27" i="13" s="1"/>
  <c r="J27" i="13" s="1"/>
  <c r="K27" i="13" s="1"/>
  <c r="L27" i="13" s="1"/>
  <c r="M27" i="13" s="1"/>
  <c r="N27" i="13" s="1"/>
  <c r="O27" i="13" s="1"/>
  <c r="P27" i="13" s="1"/>
  <c r="Q27" i="13" s="1"/>
  <c r="R27" i="13" s="1"/>
  <c r="S27" i="13" s="1"/>
  <c r="T27" i="13" s="1"/>
  <c r="U27" i="13" s="1"/>
  <c r="V27" i="13" s="1"/>
  <c r="W27" i="13" s="1"/>
  <c r="X27" i="13" s="1"/>
  <c r="T38" i="13"/>
  <c r="Q42" i="13" l="1"/>
  <c r="P60" i="13"/>
  <c r="O60" i="13"/>
  <c r="Q43" i="13"/>
  <c r="R32" i="13"/>
  <c r="R71" i="13"/>
  <c r="U38" i="13"/>
  <c r="R42" i="13" l="1"/>
  <c r="M60" i="13"/>
  <c r="Q60" i="13"/>
  <c r="R43" i="13"/>
  <c r="S32" i="13"/>
  <c r="S71" i="13"/>
  <c r="V38" i="13"/>
  <c r="S42" i="13" l="1"/>
  <c r="S43" i="13" s="1"/>
  <c r="U32" i="13"/>
  <c r="U71" i="13"/>
  <c r="T32" i="13"/>
  <c r="T71" i="13"/>
  <c r="W38" i="13"/>
  <c r="T42" i="13" l="1"/>
  <c r="U42" i="13"/>
  <c r="R60" i="13"/>
  <c r="T43" i="13"/>
  <c r="U43" i="13"/>
  <c r="V32" i="13"/>
  <c r="V71" i="13"/>
  <c r="V42" i="13" l="1"/>
  <c r="T60" i="13"/>
  <c r="S60" i="13"/>
  <c r="U60" i="13"/>
  <c r="V43" i="13"/>
  <c r="W32" i="13"/>
  <c r="W71" i="13"/>
  <c r="W42" i="13" l="1"/>
  <c r="V60" i="13"/>
  <c r="W43" i="13"/>
  <c r="X32" i="13"/>
  <c r="X71" i="13"/>
  <c r="X42" i="13" l="1"/>
  <c r="X43" i="13"/>
  <c r="W60" i="13" l="1"/>
  <c r="X60" i="13" l="1"/>
  <c r="E59" i="13"/>
  <c r="F46" i="13" s="1"/>
  <c r="E50" i="13"/>
  <c r="F63" i="13" l="1"/>
  <c r="E68" i="13"/>
  <c r="F59" i="13"/>
  <c r="G46" i="13" s="1"/>
  <c r="G63" i="13" s="1"/>
  <c r="E61" i="13"/>
  <c r="F61" i="13" s="1"/>
  <c r="G61" i="13" s="1"/>
  <c r="H61" i="13" s="1"/>
  <c r="I61" i="13" s="1"/>
  <c r="J61" i="13" s="1"/>
  <c r="K61" i="13" s="1"/>
  <c r="L61" i="13" s="1"/>
  <c r="M61" i="13" s="1"/>
  <c r="N61" i="13" s="1"/>
  <c r="O61" i="13" s="1"/>
  <c r="P61" i="13" s="1"/>
  <c r="Q61" i="13" s="1"/>
  <c r="R61" i="13" s="1"/>
  <c r="S61" i="13" s="1"/>
  <c r="T61" i="13" s="1"/>
  <c r="U61" i="13" s="1"/>
  <c r="V61" i="13" s="1"/>
  <c r="W61" i="13" s="1"/>
  <c r="X61" i="13" s="1"/>
  <c r="E75" i="13"/>
  <c r="E57" i="13"/>
  <c r="F49" i="13"/>
  <c r="F47" i="13"/>
  <c r="F48" i="13" s="1"/>
  <c r="E55" i="13"/>
  <c r="F55" i="13" s="1"/>
  <c r="E67" i="13"/>
  <c r="F50" i="13"/>
  <c r="G65" i="13" l="1"/>
  <c r="G66" i="13"/>
  <c r="F66" i="13"/>
  <c r="F68" i="13" s="1"/>
  <c r="F65" i="13"/>
  <c r="F67" i="13" s="1"/>
  <c r="F64" i="13"/>
  <c r="G47" i="13"/>
  <c r="G48" i="13" s="1"/>
  <c r="G64" i="13"/>
  <c r="F57" i="13"/>
  <c r="G57" i="13" s="1"/>
  <c r="E52" i="13"/>
  <c r="E54" i="13" s="1"/>
  <c r="E56" i="13"/>
  <c r="F56" i="13" s="1"/>
  <c r="G56" i="13" s="1"/>
  <c r="G59" i="13"/>
  <c r="H46" i="13" s="1"/>
  <c r="F51" i="13"/>
  <c r="F53" i="13" s="1"/>
  <c r="G49" i="13"/>
  <c r="G67" i="13" s="1"/>
  <c r="G50" i="13"/>
  <c r="G68" i="13" s="1"/>
  <c r="F52" i="13"/>
  <c r="F54" i="13" s="1"/>
  <c r="E51" i="13"/>
  <c r="E53" i="13" s="1"/>
  <c r="G55" i="13"/>
  <c r="H63" i="13" l="1"/>
  <c r="H59" i="13"/>
  <c r="I59" i="13" s="1"/>
  <c r="J46" i="13" s="1"/>
  <c r="J63" i="13" s="1"/>
  <c r="G51" i="13"/>
  <c r="G53" i="13" s="1"/>
  <c r="G52" i="13"/>
  <c r="G54" i="13" s="1"/>
  <c r="H50" i="13"/>
  <c r="H49" i="13"/>
  <c r="H47" i="13"/>
  <c r="H56" i="13" s="1"/>
  <c r="I46" i="13"/>
  <c r="J59" i="13"/>
  <c r="K46" i="13" s="1"/>
  <c r="H55" i="13"/>
  <c r="I63" i="13" l="1"/>
  <c r="K63" i="13"/>
  <c r="H66" i="13"/>
  <c r="H68" i="13" s="1"/>
  <c r="H65" i="13"/>
  <c r="H67" i="13" s="1"/>
  <c r="J66" i="13"/>
  <c r="J65" i="13"/>
  <c r="H64" i="13"/>
  <c r="J49" i="13"/>
  <c r="J67" i="13" s="1"/>
  <c r="J64" i="13"/>
  <c r="J50" i="13"/>
  <c r="J68" i="13" s="1"/>
  <c r="J47" i="13"/>
  <c r="J48" i="13" s="1"/>
  <c r="H51" i="13"/>
  <c r="H53" i="13" s="1"/>
  <c r="I55" i="13"/>
  <c r="J55" i="13" s="1"/>
  <c r="K55" i="13" s="1"/>
  <c r="K47" i="13"/>
  <c r="K50" i="13"/>
  <c r="K49" i="13"/>
  <c r="K59" i="13"/>
  <c r="L46" i="13" s="1"/>
  <c r="H48" i="13"/>
  <c r="H57" i="13" s="1"/>
  <c r="I50" i="13"/>
  <c r="I47" i="13"/>
  <c r="I56" i="13" s="1"/>
  <c r="I49" i="13"/>
  <c r="H52" i="13"/>
  <c r="H54" i="13" s="1"/>
  <c r="L63" i="13" l="1"/>
  <c r="K65" i="13"/>
  <c r="K67" i="13" s="1"/>
  <c r="K66" i="13"/>
  <c r="K68" i="13" s="1"/>
  <c r="I65" i="13"/>
  <c r="I66" i="13"/>
  <c r="I68" i="13" s="1"/>
  <c r="J56" i="13"/>
  <c r="K56" i="13" s="1"/>
  <c r="K64" i="13"/>
  <c r="I64" i="13"/>
  <c r="J52" i="13"/>
  <c r="J54" i="13" s="1"/>
  <c r="J51" i="13"/>
  <c r="J53" i="13" s="1"/>
  <c r="I51" i="13"/>
  <c r="I53" i="13" s="1"/>
  <c r="I67" i="13"/>
  <c r="K51" i="13"/>
  <c r="K53" i="13" s="1"/>
  <c r="L59" i="13"/>
  <c r="M46" i="13" s="1"/>
  <c r="M63" i="13" s="1"/>
  <c r="K52" i="13"/>
  <c r="K54" i="13" s="1"/>
  <c r="I48" i="13"/>
  <c r="I57" i="13" s="1"/>
  <c r="J57" i="13" s="1"/>
  <c r="K48" i="13"/>
  <c r="L50" i="13"/>
  <c r="L47" i="13"/>
  <c r="L49" i="13"/>
  <c r="L55" i="13"/>
  <c r="I52" i="13"/>
  <c r="I54" i="13" s="1"/>
  <c r="L66" i="13" l="1"/>
  <c r="L68" i="13" s="1"/>
  <c r="L65" i="13"/>
  <c r="M66" i="13"/>
  <c r="M65" i="13"/>
  <c r="L64" i="13"/>
  <c r="M47" i="13"/>
  <c r="M48" i="13" s="1"/>
  <c r="M64" i="13"/>
  <c r="L56" i="13"/>
  <c r="M49" i="13"/>
  <c r="L51" i="13"/>
  <c r="L53" i="13" s="1"/>
  <c r="L67" i="13"/>
  <c r="M55" i="13"/>
  <c r="M50" i="13"/>
  <c r="M68" i="13" s="1"/>
  <c r="M59" i="13"/>
  <c r="N46" i="13" s="1"/>
  <c r="N63" i="13" s="1"/>
  <c r="L48" i="13"/>
  <c r="K57" i="13"/>
  <c r="L52" i="13"/>
  <c r="L54" i="13" s="1"/>
  <c r="M67" i="13" l="1"/>
  <c r="N66" i="13"/>
  <c r="N65" i="13"/>
  <c r="M56" i="13"/>
  <c r="N49" i="13"/>
  <c r="N67" i="13" s="1"/>
  <c r="N64" i="13"/>
  <c r="M51" i="13"/>
  <c r="M53" i="13" s="1"/>
  <c r="L57" i="13"/>
  <c r="M57" i="13" s="1"/>
  <c r="N55" i="13"/>
  <c r="M52" i="13"/>
  <c r="M54" i="13" s="1"/>
  <c r="N59" i="13"/>
  <c r="O59" i="13" s="1"/>
  <c r="N50" i="13"/>
  <c r="N68" i="13" s="1"/>
  <c r="N47" i="13"/>
  <c r="N56" i="13" s="1"/>
  <c r="O46" i="13" l="1"/>
  <c r="N48" i="13"/>
  <c r="N57" i="13" s="1"/>
  <c r="N52" i="13"/>
  <c r="N54" i="13" s="1"/>
  <c r="N51" i="13"/>
  <c r="N53" i="13" s="1"/>
  <c r="P46" i="13"/>
  <c r="P63" i="13" s="1"/>
  <c r="P59" i="13"/>
  <c r="P66" i="13" l="1"/>
  <c r="P65" i="13"/>
  <c r="O50" i="13"/>
  <c r="O63" i="13"/>
  <c r="O47" i="13"/>
  <c r="O56" i="13" s="1"/>
  <c r="O49" i="13"/>
  <c r="P64" i="13"/>
  <c r="O55" i="13"/>
  <c r="P55" i="13" s="1"/>
  <c r="O64" i="13"/>
  <c r="O52" i="13"/>
  <c r="O54" i="13" s="1"/>
  <c r="Q46" i="13"/>
  <c r="Q59" i="13"/>
  <c r="O48" i="13"/>
  <c r="O57" i="13" s="1"/>
  <c r="P50" i="13"/>
  <c r="P49" i="13"/>
  <c r="P67" i="13" s="1"/>
  <c r="P47" i="13"/>
  <c r="P56" i="13" s="1"/>
  <c r="Q63" i="13" l="1"/>
  <c r="O66" i="13"/>
  <c r="O68" i="13" s="1"/>
  <c r="O65" i="13"/>
  <c r="O67" i="13" s="1"/>
  <c r="O51" i="13"/>
  <c r="O53" i="13" s="1"/>
  <c r="P52" i="13"/>
  <c r="P54" i="13" s="1"/>
  <c r="P68" i="13"/>
  <c r="R46" i="13"/>
  <c r="R59" i="13"/>
  <c r="Q50" i="13"/>
  <c r="Q49" i="13"/>
  <c r="Q47" i="13"/>
  <c r="Q56" i="13" s="1"/>
  <c r="P51" i="13"/>
  <c r="P53" i="13" s="1"/>
  <c r="Q55" i="13"/>
  <c r="P48" i="13"/>
  <c r="P57" i="13" s="1"/>
  <c r="R63" i="13" l="1"/>
  <c r="R64" i="13" s="1"/>
  <c r="Q66" i="13"/>
  <c r="Q68" i="13" s="1"/>
  <c r="Q65" i="13"/>
  <c r="Q67" i="13" s="1"/>
  <c r="Q64" i="13"/>
  <c r="R55" i="13"/>
  <c r="Q48" i="13"/>
  <c r="Q57" i="13" s="1"/>
  <c r="S46" i="13"/>
  <c r="S59" i="13"/>
  <c r="R49" i="13"/>
  <c r="R47" i="13"/>
  <c r="R56" i="13" s="1"/>
  <c r="R50" i="13"/>
  <c r="Q52" i="13"/>
  <c r="Q54" i="13" s="1"/>
  <c r="Q51" i="13"/>
  <c r="Q53" i="13" s="1"/>
  <c r="S63" i="13" l="1"/>
  <c r="S64" i="13" s="1"/>
  <c r="R66" i="13"/>
  <c r="R68" i="13" s="1"/>
  <c r="R65" i="13"/>
  <c r="R67" i="13" s="1"/>
  <c r="R51" i="13"/>
  <c r="R48" i="13"/>
  <c r="R57" i="13" s="1"/>
  <c r="T46" i="13"/>
  <c r="T59" i="13"/>
  <c r="S50" i="13"/>
  <c r="S49" i="13"/>
  <c r="S47" i="13"/>
  <c r="S56" i="13" s="1"/>
  <c r="R52" i="13"/>
  <c r="R54" i="13" s="1"/>
  <c r="S55" i="13"/>
  <c r="R53" i="13"/>
  <c r="T63" i="13" l="1"/>
  <c r="T64" i="13" s="1"/>
  <c r="S66" i="13"/>
  <c r="S68" i="13" s="1"/>
  <c r="S65" i="13"/>
  <c r="S67" i="13" s="1"/>
  <c r="S48" i="13"/>
  <c r="S57" i="13" s="1"/>
  <c r="T55" i="13"/>
  <c r="U46" i="13"/>
  <c r="U59" i="13"/>
  <c r="U55" i="13"/>
  <c r="T50" i="13"/>
  <c r="T49" i="13"/>
  <c r="T47" i="13"/>
  <c r="T56" i="13" s="1"/>
  <c r="S52" i="13"/>
  <c r="S54" i="13" s="1"/>
  <c r="S51" i="13"/>
  <c r="S53" i="13" s="1"/>
  <c r="U63" i="13" l="1"/>
  <c r="T66" i="13"/>
  <c r="T65" i="13"/>
  <c r="T67" i="13" s="1"/>
  <c r="T52" i="13"/>
  <c r="T68" i="13"/>
  <c r="V46" i="13"/>
  <c r="V59" i="13"/>
  <c r="T54" i="13"/>
  <c r="U49" i="13"/>
  <c r="U50" i="13"/>
  <c r="U47" i="13"/>
  <c r="U56" i="13" s="1"/>
  <c r="T51" i="13"/>
  <c r="T53" i="13" s="1"/>
  <c r="T48" i="13"/>
  <c r="T57" i="13" s="1"/>
  <c r="V63" i="13" l="1"/>
  <c r="U66" i="13"/>
  <c r="U65" i="13"/>
  <c r="U67" i="13" s="1"/>
  <c r="U64" i="13"/>
  <c r="U52" i="13"/>
  <c r="U54" i="13" s="1"/>
  <c r="U68" i="13"/>
  <c r="U48" i="13"/>
  <c r="U57" i="13" s="1"/>
  <c r="W46" i="13"/>
  <c r="W59" i="13"/>
  <c r="U51" i="13"/>
  <c r="U53" i="13" s="1"/>
  <c r="V50" i="13"/>
  <c r="V47" i="13"/>
  <c r="V56" i="13" s="1"/>
  <c r="V49" i="13"/>
  <c r="V55" i="13"/>
  <c r="W63" i="13" l="1"/>
  <c r="V66" i="13"/>
  <c r="V68" i="13" s="1"/>
  <c r="V65" i="13"/>
  <c r="V67" i="13" s="1"/>
  <c r="V64" i="13"/>
  <c r="V48" i="13"/>
  <c r="V57" i="13" s="1"/>
  <c r="W55" i="13"/>
  <c r="V51" i="13"/>
  <c r="V53" i="13" s="1"/>
  <c r="X46" i="13"/>
  <c r="X63" i="13" s="1"/>
  <c r="X59" i="13"/>
  <c r="W47" i="13"/>
  <c r="W48" i="13" s="1"/>
  <c r="W50" i="13"/>
  <c r="W49" i="13"/>
  <c r="V52" i="13"/>
  <c r="V54" i="13" s="1"/>
  <c r="X66" i="13" l="1"/>
  <c r="X65" i="13"/>
  <c r="W66" i="13"/>
  <c r="W68" i="13" s="1"/>
  <c r="W65" i="13"/>
  <c r="W67" i="13" s="1"/>
  <c r="W64" i="13"/>
  <c r="W57" i="13"/>
  <c r="X55" i="13"/>
  <c r="X64" i="13"/>
  <c r="X47" i="13"/>
  <c r="X48" i="13" s="1"/>
  <c r="X57" i="13" s="1"/>
  <c r="X49" i="13"/>
  <c r="X67" i="13" s="1"/>
  <c r="X50" i="13"/>
  <c r="X68" i="13" s="1"/>
  <c r="W56" i="13"/>
  <c r="X56" i="13" s="1"/>
  <c r="W51" i="13"/>
  <c r="W53" i="13" s="1"/>
  <c r="W52" i="13"/>
  <c r="W54" i="13" s="1"/>
  <c r="X51" i="13" l="1"/>
  <c r="X53" i="13" s="1"/>
  <c r="X52" i="13"/>
  <c r="X54" i="13" s="1"/>
  <c r="W46" i="19"/>
  <c r="W52" i="19" s="1"/>
  <c r="W47" i="19"/>
  <c r="F42" i="19"/>
  <c r="F43" i="19" s="1"/>
  <c r="F45" i="19" s="1"/>
  <c r="W51" i="19" l="1"/>
  <c r="W48" i="19"/>
  <c r="W49" i="19"/>
  <c r="W53" i="19" s="1"/>
  <c r="W63" i="19"/>
  <c r="W50" i="19"/>
  <c r="F59" i="19"/>
  <c r="F46" i="19"/>
  <c r="F60" i="19"/>
  <c r="F61" i="19" s="1"/>
  <c r="W54" i="19" l="1"/>
  <c r="W64" i="19"/>
  <c r="W66" i="19"/>
  <c r="W68" i="19" s="1"/>
  <c r="W65" i="19"/>
  <c r="W67" i="19" s="1"/>
  <c r="F47" i="19"/>
  <c r="F56" i="19" s="1"/>
  <c r="G56" i="19" s="1"/>
  <c r="F55" i="19"/>
  <c r="G55" i="19" s="1"/>
  <c r="F63" i="19"/>
  <c r="F50" i="19"/>
  <c r="F49" i="19"/>
  <c r="G59" i="19"/>
  <c r="H59" i="19" s="1"/>
  <c r="I46" i="19" s="1"/>
  <c r="F48" i="19" l="1"/>
  <c r="F57" i="19" s="1"/>
  <c r="G57" i="19" s="1"/>
  <c r="I47" i="19"/>
  <c r="I48" i="19" s="1"/>
  <c r="I63" i="19"/>
  <c r="I64" i="19" s="1"/>
  <c r="I49" i="19"/>
  <c r="I50" i="19"/>
  <c r="I59" i="19"/>
  <c r="F66" i="19"/>
  <c r="F65" i="19"/>
  <c r="F67" i="19" s="1"/>
  <c r="F51" i="19"/>
  <c r="F53" i="19" s="1"/>
  <c r="F64" i="19"/>
  <c r="F68" i="19"/>
  <c r="G61" i="19"/>
  <c r="H61" i="19" s="1"/>
  <c r="I61" i="19" s="1"/>
  <c r="J61" i="19" s="1"/>
  <c r="K61" i="19" s="1"/>
  <c r="L61" i="19" s="1"/>
  <c r="M61" i="19" s="1"/>
  <c r="N61" i="19" s="1"/>
  <c r="O61" i="19" s="1"/>
  <c r="P61" i="19" s="1"/>
  <c r="H46" i="19"/>
  <c r="F52" i="19"/>
  <c r="F54" i="19" s="1"/>
  <c r="I52" i="19" l="1"/>
  <c r="I54" i="19" s="1"/>
  <c r="H47" i="19"/>
  <c r="H56" i="19" s="1"/>
  <c r="I56" i="19" s="1"/>
  <c r="H50" i="19"/>
  <c r="H63" i="19"/>
  <c r="H64" i="19" s="1"/>
  <c r="H49" i="19"/>
  <c r="H51" i="19" s="1"/>
  <c r="J46" i="19"/>
  <c r="I66" i="19"/>
  <c r="I68" i="19" s="1"/>
  <c r="I65" i="19"/>
  <c r="I67" i="19" s="1"/>
  <c r="J59" i="19"/>
  <c r="I51" i="19"/>
  <c r="I53" i="19" s="1"/>
  <c r="H55" i="19"/>
  <c r="I55" i="19" s="1"/>
  <c r="J55" i="19" s="1"/>
  <c r="H52" i="19" l="1"/>
  <c r="H54" i="19" s="1"/>
  <c r="H66" i="19"/>
  <c r="H68" i="19" s="1"/>
  <c r="H65" i="19"/>
  <c r="H67" i="19" s="1"/>
  <c r="K46" i="19"/>
  <c r="K55" i="19" s="1"/>
  <c r="H48" i="19"/>
  <c r="H57" i="19" s="1"/>
  <c r="I57" i="19" s="1"/>
  <c r="J50" i="19"/>
  <c r="J49" i="19"/>
  <c r="J63" i="19"/>
  <c r="J64" i="19" s="1"/>
  <c r="J47" i="19"/>
  <c r="K59" i="19"/>
  <c r="H53" i="19"/>
  <c r="J51" i="19" l="1"/>
  <c r="J48" i="19"/>
  <c r="J57" i="19" s="1"/>
  <c r="L46" i="19"/>
  <c r="L59" i="19"/>
  <c r="M46" i="19" s="1"/>
  <c r="J66" i="19"/>
  <c r="J68" i="19" s="1"/>
  <c r="J65" i="19"/>
  <c r="J67" i="19" s="1"/>
  <c r="J52" i="19"/>
  <c r="J54" i="19" s="1"/>
  <c r="J56" i="19"/>
  <c r="K47" i="19"/>
  <c r="K48" i="19" s="1"/>
  <c r="K50" i="19"/>
  <c r="K49" i="19"/>
  <c r="K63" i="19"/>
  <c r="K64" i="19" s="1"/>
  <c r="J53" i="19"/>
  <c r="K57" i="19" l="1"/>
  <c r="K66" i="19"/>
  <c r="K68" i="19" s="1"/>
  <c r="K65" i="19"/>
  <c r="K67" i="19" s="1"/>
  <c r="K52" i="19"/>
  <c r="K54" i="19" s="1"/>
  <c r="M47" i="19"/>
  <c r="M48" i="19" s="1"/>
  <c r="M63" i="19"/>
  <c r="M50" i="19"/>
  <c r="M52" i="19" s="1"/>
  <c r="M49" i="19"/>
  <c r="M51" i="19" s="1"/>
  <c r="L50" i="19"/>
  <c r="L63" i="19"/>
  <c r="L49" i="19"/>
  <c r="L47" i="19"/>
  <c r="L48" i="19" s="1"/>
  <c r="K56" i="19"/>
  <c r="L55" i="19"/>
  <c r="M55" i="19" s="1"/>
  <c r="K51" i="19"/>
  <c r="K53" i="19" s="1"/>
  <c r="M59" i="19"/>
  <c r="L52" i="19" l="1"/>
  <c r="L51" i="19"/>
  <c r="L53" i="19" s="1"/>
  <c r="L56" i="19"/>
  <c r="N46" i="19"/>
  <c r="N59" i="19"/>
  <c r="M53" i="19"/>
  <c r="L65" i="19"/>
  <c r="L67" i="19" s="1"/>
  <c r="L66" i="19"/>
  <c r="L68" i="19" s="1"/>
  <c r="M66" i="19"/>
  <c r="M68" i="19" s="1"/>
  <c r="M65" i="19"/>
  <c r="M67" i="19" s="1"/>
  <c r="M56" i="19"/>
  <c r="M64" i="19"/>
  <c r="L64" i="19"/>
  <c r="L54" i="19"/>
  <c r="M54" i="19"/>
  <c r="N55" i="19"/>
  <c r="L57" i="19"/>
  <c r="M57" i="19" s="1"/>
  <c r="O46" i="19" l="1"/>
  <c r="O59" i="19"/>
  <c r="O55" i="19"/>
  <c r="N63" i="19"/>
  <c r="N50" i="19"/>
  <c r="N47" i="19"/>
  <c r="N56" i="19" s="1"/>
  <c r="N49" i="19"/>
  <c r="N52" i="19" l="1"/>
  <c r="N54" i="19" s="1"/>
  <c r="P46" i="19"/>
  <c r="P59" i="19"/>
  <c r="Q59" i="19" s="1"/>
  <c r="N66" i="19"/>
  <c r="N68" i="19" s="1"/>
  <c r="N65" i="19"/>
  <c r="N67" i="19" s="1"/>
  <c r="N64" i="19"/>
  <c r="N51" i="19"/>
  <c r="N53" i="19" s="1"/>
  <c r="N48" i="19"/>
  <c r="N57" i="19" s="1"/>
  <c r="P55" i="19"/>
  <c r="Q55" i="19" s="1"/>
  <c r="O47" i="19"/>
  <c r="O56" i="19" s="1"/>
  <c r="O50" i="19"/>
  <c r="O63" i="19"/>
  <c r="O64" i="19" s="1"/>
  <c r="O49" i="19"/>
  <c r="O51" i="19" s="1"/>
  <c r="P49" i="19" l="1"/>
  <c r="P50" i="19"/>
  <c r="P63" i="19"/>
  <c r="P47" i="19"/>
  <c r="P56" i="19" s="1"/>
  <c r="Q56" i="19" s="1"/>
  <c r="R46" i="19"/>
  <c r="Q60" i="19"/>
  <c r="Q61" i="19" s="1"/>
  <c r="R61" i="19" s="1"/>
  <c r="S61" i="19" s="1"/>
  <c r="T61" i="19" s="1"/>
  <c r="U61" i="19" s="1"/>
  <c r="V61" i="19" s="1"/>
  <c r="R59" i="19"/>
  <c r="O48" i="19"/>
  <c r="O57" i="19" s="1"/>
  <c r="O66" i="19"/>
  <c r="O68" i="19" s="1"/>
  <c r="O65" i="19"/>
  <c r="O67" i="19" s="1"/>
  <c r="O53" i="19"/>
  <c r="O52" i="19"/>
  <c r="O54" i="19" s="1"/>
  <c r="P52" i="19" l="1"/>
  <c r="P51" i="19"/>
  <c r="P48" i="19"/>
  <c r="P57" i="19" s="1"/>
  <c r="Q57" i="19" s="1"/>
  <c r="S46" i="19"/>
  <c r="S59" i="19"/>
  <c r="R47" i="19"/>
  <c r="R56" i="19" s="1"/>
  <c r="R63" i="19"/>
  <c r="R50" i="19"/>
  <c r="R52" i="19" s="1"/>
  <c r="R49" i="19"/>
  <c r="R51" i="19" s="1"/>
  <c r="P54" i="19"/>
  <c r="P66" i="19"/>
  <c r="P68" i="19" s="1"/>
  <c r="P65" i="19"/>
  <c r="P67" i="19" s="1"/>
  <c r="P64" i="19"/>
  <c r="P53" i="19"/>
  <c r="R55" i="19"/>
  <c r="S55" i="19" s="1"/>
  <c r="R66" i="19" l="1"/>
  <c r="R68" i="19" s="1"/>
  <c r="R65" i="19"/>
  <c r="R67" i="19" s="1"/>
  <c r="R53" i="19"/>
  <c r="R48" i="19"/>
  <c r="R57" i="19" s="1"/>
  <c r="S50" i="19"/>
  <c r="S63" i="19"/>
  <c r="S64" i="19" s="1"/>
  <c r="S47" i="19"/>
  <c r="S56" i="19" s="1"/>
  <c r="S49" i="19"/>
  <c r="R54" i="19"/>
  <c r="R64" i="19"/>
  <c r="T46" i="19"/>
  <c r="T55" i="19" s="1"/>
  <c r="T59" i="19"/>
  <c r="S51" i="19" l="1"/>
  <c r="S53" i="19" s="1"/>
  <c r="S48" i="19"/>
  <c r="S57" i="19" s="1"/>
  <c r="U46" i="19"/>
  <c r="U55" i="19" s="1"/>
  <c r="U59" i="19"/>
  <c r="T50" i="19"/>
  <c r="T63" i="19"/>
  <c r="T47" i="19"/>
  <c r="T56" i="19" s="1"/>
  <c r="T49" i="19"/>
  <c r="T51" i="19" s="1"/>
  <c r="S52" i="19"/>
  <c r="S54" i="19" s="1"/>
  <c r="S66" i="19"/>
  <c r="S68" i="19" s="1"/>
  <c r="S65" i="19"/>
  <c r="S67" i="19" s="1"/>
  <c r="V46" i="19" l="1"/>
  <c r="V55" i="19" s="1"/>
  <c r="W55" i="19" s="1"/>
  <c r="V59" i="19"/>
  <c r="W59" i="19" s="1"/>
  <c r="T66" i="19"/>
  <c r="T68" i="19" s="1"/>
  <c r="T65" i="19"/>
  <c r="T67" i="19" s="1"/>
  <c r="T52" i="19"/>
  <c r="T54" i="19" s="1"/>
  <c r="U63" i="19"/>
  <c r="U64" i="19" s="1"/>
  <c r="U49" i="19"/>
  <c r="U47" i="19"/>
  <c r="U56" i="19" s="1"/>
  <c r="U50" i="19"/>
  <c r="U52" i="19" s="1"/>
  <c r="T48" i="19"/>
  <c r="T57" i="19" s="1"/>
  <c r="T64" i="19"/>
  <c r="T53" i="19"/>
  <c r="U48" i="19" l="1"/>
  <c r="U57" i="19"/>
  <c r="U51" i="19"/>
  <c r="U53" i="19" s="1"/>
  <c r="U54" i="19"/>
  <c r="U65" i="19"/>
  <c r="U67" i="19" s="1"/>
  <c r="U66" i="19"/>
  <c r="U68" i="19" s="1"/>
  <c r="W60" i="19"/>
  <c r="W61" i="19" s="1"/>
  <c r="X61" i="19" s="1"/>
  <c r="X46" i="19"/>
  <c r="X59" i="19"/>
  <c r="V63" i="19"/>
  <c r="V47" i="19"/>
  <c r="V56" i="19" s="1"/>
  <c r="W56" i="19" s="1"/>
  <c r="V49" i="19"/>
  <c r="V50" i="19"/>
  <c r="V66" i="19" l="1"/>
  <c r="V65" i="19"/>
  <c r="V67" i="19" s="1"/>
  <c r="X47" i="19"/>
  <c r="X56" i="19" s="1"/>
  <c r="X63" i="19"/>
  <c r="X64" i="19" s="1"/>
  <c r="X50" i="19"/>
  <c r="X49" i="19"/>
  <c r="X51" i="19" s="1"/>
  <c r="X48" i="19"/>
  <c r="V48" i="19"/>
  <c r="V57" i="19" s="1"/>
  <c r="W57" i="19" s="1"/>
  <c r="V68" i="19"/>
  <c r="V64" i="19"/>
  <c r="X55" i="19"/>
  <c r="V52" i="19"/>
  <c r="V54" i="19" s="1"/>
  <c r="V51" i="19"/>
  <c r="V53" i="19" s="1"/>
  <c r="X57" i="19" l="1"/>
  <c r="X53" i="19"/>
  <c r="X52" i="19"/>
  <c r="X54" i="19" s="1"/>
  <c r="X66" i="19"/>
  <c r="X68" i="19" s="1"/>
  <c r="X65" i="19"/>
  <c r="X6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tc={81A2D5FA-C531-4A13-BBEA-B96E10C78375}</author>
    <author>tc={64FC928D-2CD6-4567-8ED2-7800DF045812}</author>
    <author>tc={E7F7604D-FF82-420E-BD08-4D3D4C2BE7ED}</author>
  </authors>
  <commentList>
    <comment ref="O12" authorId="0" shapeId="0" xr:uid="{81A2D5FA-C531-4A13-BBEA-B96E10C7837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inventory data is measured every 10 years, in compliance with the IFM protocol. This calculates new uncertainty stats.</t>
      </text>
    </comment>
    <comment ref="E49" authorId="1" shapeId="0" xr:uid="{64FC928D-2CD6-4567-8ED2-7800DF045812}">
      <text>
        <t>[Threaded comment]
Your version of Excel allows you to read this threaded comment; however, any edits to it will get removed if the file is opened in a newer version of Excel. Learn more: https://go.microsoft.com/fwlink/?linkid=870924
Comment:
    Example A assumes a project Start Date of 9/15/2020. The Start Date can be set in ACR Parameters (cell E16). This function only works as written for annual reporting and verifications.</t>
      </text>
    </comment>
    <comment ref="E59" authorId="2" shapeId="0" xr:uid="{E7F7604D-FF82-420E-BD08-4D3D4C2BE7ED}">
      <text>
        <t>[Threaded comment]
Your version of Excel allows you to read this threaded comment; however, any edits to it will get removed if the file is opened in a newer version of Excel. Learn more: https://go.microsoft.com/fwlink/?linkid=870924
Comment:
    Negative balance is only applicable prior to the projects first offset credit issuance.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tc={A778973A-F9C4-4DB9-82CA-8610D5D2BC35}</author>
    <author>tc={0A0F3D91-8C59-43AF-AEB7-697AF8ABA5B4}</author>
    <author>tc={6AA2564E-0A37-408F-B982-7CCCAD01B5CD}</author>
  </authors>
  <commentList>
    <comment ref="O12" authorId="0" shapeId="0" xr:uid="{A778973A-F9C4-4DB9-82CA-8610D5D2BC3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inventory data is measured every 10 years, in compliance with the IFM protocol. This calculates new uncertainty stats.</t>
      </text>
    </comment>
    <comment ref="E49" authorId="1" shapeId="0" xr:uid="{0A0F3D91-8C59-43AF-AEB7-697AF8ABA5B4}">
      <text>
        <t>[Threaded comment]
Your version of Excel allows you to read this threaded comment; however, any edits to it will get removed if the file is opened in a newer version of Excel. Learn more: https://go.microsoft.com/fwlink/?linkid=870924
Comment:
    Example A assumes a project Start Date of 9/15/2020. The Start Date can be set in ACR Parameters (cell E16). This function only works as written for annual reporting and verifications.</t>
      </text>
    </comment>
    <comment ref="E59" authorId="2" shapeId="0" xr:uid="{6AA2564E-0A37-408F-B982-7CCCAD01B5CD}">
      <text>
        <t>[Threaded comment]
Your version of Excel allows you to read this threaded comment; however, any edits to it will get removed if the file is opened in a newer version of Excel. Learn more: https://go.microsoft.com/fwlink/?linkid=870924
Comment:
    Negative balance is only applicable prior to the projects first offset credit issuance.</t>
      </text>
    </comment>
  </commentList>
</comments>
</file>

<file path=xl/sharedStrings.xml><?xml version="1.0" encoding="utf-8"?>
<sst xmlns="http://schemas.openxmlformats.org/spreadsheetml/2006/main" count="231" uniqueCount="117">
  <si>
    <t>Title:</t>
  </si>
  <si>
    <r>
      <t xml:space="preserve">ERT calculator for </t>
    </r>
    <r>
      <rPr>
        <b/>
        <sz val="11"/>
        <color theme="1"/>
        <rFont val="Calibri"/>
        <family val="2"/>
        <scheme val="minor"/>
      </rPr>
      <t>version 1.0</t>
    </r>
    <r>
      <rPr>
        <sz val="11"/>
        <color theme="1"/>
        <rFont val="Calibri"/>
        <family val="2"/>
        <scheme val="minor"/>
      </rPr>
      <t xml:space="preserve"> of ACR's </t>
    </r>
    <r>
      <rPr>
        <i/>
        <sz val="11"/>
        <color theme="1"/>
        <rFont val="Calibri"/>
        <family val="2"/>
        <scheme val="minor"/>
      </rPr>
      <t xml:space="preserve">Methodology for the Quantification, Monitoring, Reporting and Verification of GHG Emission Reductions and Removals from </t>
    </r>
    <r>
      <rPr>
        <b/>
        <i/>
        <sz val="11"/>
        <color theme="1"/>
        <rFont val="Calibri"/>
        <family val="2"/>
        <scheme val="minor"/>
      </rPr>
      <t>Improved Forest Management On Canadian Forestlands</t>
    </r>
  </si>
  <si>
    <t>Calculator Version:</t>
  </si>
  <si>
    <t>Date:</t>
  </si>
  <si>
    <r>
      <t xml:space="preserve">This is an example project utilizing ACR's </t>
    </r>
    <r>
      <rPr>
        <i/>
        <sz val="11"/>
        <color theme="1"/>
        <rFont val="Calibri"/>
        <family val="2"/>
        <scheme val="minor"/>
      </rPr>
      <t xml:space="preserve">Methodology for the Quantification, Monitoring, Reporting and Verification of GHG Emission Reductions and Removals from </t>
    </r>
    <r>
      <rPr>
        <b/>
        <i/>
        <sz val="11"/>
        <color theme="1"/>
        <rFont val="Calibri"/>
        <family val="2"/>
        <scheme val="minor"/>
      </rPr>
      <t>Improved Forest Management On Canadian Forestlands</t>
    </r>
    <r>
      <rPr>
        <sz val="11"/>
        <color theme="1"/>
        <rFont val="Calibri"/>
        <family val="2"/>
        <scheme val="minor"/>
      </rPr>
      <t xml:space="preserve"> over one crediting period.</t>
    </r>
  </si>
  <si>
    <t>It assumes annual reporting and verifications. If reporting and verifications occur less frequently, please remove columns as necessary to reflect actual Reporting Period length.</t>
  </si>
  <si>
    <t>Its inventory stocks are based on a hypothetical 100-acre forest and FVS-produced carbon yields.</t>
  </si>
  <si>
    <t xml:space="preserve">Baseline Scenario: Stands older than the financially optimal rotation age are immediately harvested, and then stands are harvested once they reach the financially optimal rotation age. </t>
  </si>
  <si>
    <t>Project Scenario: No harvesting planned for the project scenario.</t>
  </si>
  <si>
    <t>Example A: Improved Forest Management project in a hypothetical 100-acre forest over one crediting period</t>
  </si>
  <si>
    <t>The Baseline scenario harvests stands once they reach the financially optimal rotation age.</t>
  </si>
  <si>
    <t>The Project scenario does not harvest.</t>
  </si>
  <si>
    <t>ACR Parameters</t>
  </si>
  <si>
    <t>ACR Parameters, Inventory at Year 10</t>
  </si>
  <si>
    <r>
      <t>e</t>
    </r>
    <r>
      <rPr>
        <vertAlign val="subscript"/>
        <sz val="11"/>
        <color theme="1"/>
        <rFont val="Calibri"/>
        <family val="2"/>
        <scheme val="minor"/>
      </rPr>
      <t>BSL,TREE</t>
    </r>
    <r>
      <rPr>
        <sz val="11"/>
        <color theme="1"/>
        <rFont val="Calibri"/>
        <family val="2"/>
        <scheme val="minor"/>
      </rPr>
      <t>/e</t>
    </r>
    <r>
      <rPr>
        <vertAlign val="subscript"/>
        <sz val="11"/>
        <color theme="1"/>
        <rFont val="Calibri"/>
        <family val="2"/>
        <scheme val="minor"/>
      </rPr>
      <t>P,TREE,1</t>
    </r>
  </si>
  <si>
    <r>
      <t>Uncertainty Live Tree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initial inventory</t>
    </r>
  </si>
  <si>
    <r>
      <t>e</t>
    </r>
    <r>
      <rPr>
        <vertAlign val="subscript"/>
        <sz val="11"/>
        <color theme="1"/>
        <rFont val="Calibri"/>
        <family val="2"/>
        <scheme val="minor"/>
      </rPr>
      <t>P,TREE,10</t>
    </r>
  </si>
  <si>
    <r>
      <t>Uncertainty Live Tree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year 10</t>
    </r>
  </si>
  <si>
    <r>
      <t>e</t>
    </r>
    <r>
      <rPr>
        <vertAlign val="subscript"/>
        <sz val="11"/>
        <color theme="1"/>
        <rFont val="Calibri"/>
        <family val="2"/>
        <scheme val="minor"/>
      </rPr>
      <t>BSL,DEAD</t>
    </r>
    <r>
      <rPr>
        <sz val="11"/>
        <color theme="1"/>
        <rFont val="Calibri"/>
        <family val="2"/>
        <scheme val="minor"/>
      </rPr>
      <t>/e</t>
    </r>
    <r>
      <rPr>
        <vertAlign val="subscript"/>
        <sz val="11"/>
        <color theme="1"/>
        <rFont val="Calibri"/>
        <family val="2"/>
        <scheme val="minor"/>
      </rPr>
      <t>P,DEAD,1</t>
    </r>
  </si>
  <si>
    <r>
      <t>Uncertainty Dead Wood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initial inventory</t>
    </r>
  </si>
  <si>
    <r>
      <t>e</t>
    </r>
    <r>
      <rPr>
        <vertAlign val="subscript"/>
        <sz val="11"/>
        <color theme="1"/>
        <rFont val="Calibri"/>
        <family val="2"/>
        <scheme val="minor"/>
      </rPr>
      <t>P,DEAD,10</t>
    </r>
  </si>
  <si>
    <r>
      <t>Uncertainty Dead Wood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year 10</t>
    </r>
  </si>
  <si>
    <t>18, 19, 20</t>
  </si>
  <si>
    <t>LK</t>
  </si>
  <si>
    <t>Leakage</t>
  </si>
  <si>
    <t>BUF</t>
  </si>
  <si>
    <t>Buffer deduction rate</t>
  </si>
  <si>
    <t>Example A Start Date</t>
  </si>
  <si>
    <t>1st crediting period</t>
  </si>
  <si>
    <t>Crediting Period Year</t>
  </si>
  <si>
    <t>Reporting Period</t>
  </si>
  <si>
    <t>Equation</t>
  </si>
  <si>
    <t>Parameter</t>
  </si>
  <si>
    <t>Reporting Date</t>
  </si>
  <si>
    <t>Baseline</t>
  </si>
  <si>
    <r>
      <t>C</t>
    </r>
    <r>
      <rPr>
        <i/>
        <vertAlign val="subscript"/>
        <sz val="11"/>
        <color theme="1"/>
        <rFont val="Calibri"/>
        <family val="2"/>
        <scheme val="minor"/>
      </rPr>
      <t>BSL,TREE,t</t>
    </r>
  </si>
  <si>
    <r>
      <t>Live Tree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Baseline</t>
    </r>
  </si>
  <si>
    <r>
      <t>C</t>
    </r>
    <r>
      <rPr>
        <i/>
        <vertAlign val="subscript"/>
        <sz val="11"/>
        <color theme="1"/>
        <rFont val="Calibri"/>
        <family val="2"/>
        <scheme val="minor"/>
      </rPr>
      <t>BSL, DEAD,t</t>
    </r>
  </si>
  <si>
    <r>
      <t>Dead Wood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Baseline</t>
    </r>
  </si>
  <si>
    <r>
      <t>C</t>
    </r>
    <r>
      <rPr>
        <i/>
        <vertAlign val="subscript"/>
        <sz val="11"/>
        <color theme="1"/>
        <rFont val="Calibri"/>
        <family val="2"/>
        <scheme val="minor"/>
      </rPr>
      <t>BSL,HWP,t</t>
    </r>
  </si>
  <si>
    <t>HWP Baseline</t>
  </si>
  <si>
    <r>
      <t>C</t>
    </r>
    <r>
      <rPr>
        <i/>
        <vertAlign val="subscript"/>
        <sz val="11"/>
        <color theme="1"/>
        <rFont val="Calibri"/>
        <family val="2"/>
        <scheme val="minor"/>
      </rPr>
      <t>BSL,HWP</t>
    </r>
  </si>
  <si>
    <t>20yr Avg Baseline HWP</t>
  </si>
  <si>
    <r>
      <t>GHG</t>
    </r>
    <r>
      <rPr>
        <i/>
        <vertAlign val="subscript"/>
        <sz val="11"/>
        <color theme="1"/>
        <rFont val="Calibri"/>
        <family val="2"/>
        <scheme val="minor"/>
      </rPr>
      <t>BSL,t</t>
    </r>
  </si>
  <si>
    <t>GHG Emissions Baseline</t>
  </si>
  <si>
    <r>
      <t>GHG</t>
    </r>
    <r>
      <rPr>
        <i/>
        <vertAlign val="subscript"/>
        <sz val="11"/>
        <color theme="1"/>
        <rFont val="Calibri"/>
        <family val="2"/>
        <scheme val="minor"/>
      </rPr>
      <t>BSL</t>
    </r>
  </si>
  <si>
    <t>20yr Avg Baseline GHG emissions</t>
  </si>
  <si>
    <r>
      <t>C</t>
    </r>
    <r>
      <rPr>
        <i/>
        <vertAlign val="subscript"/>
        <sz val="11"/>
        <color theme="1"/>
        <rFont val="Calibri"/>
        <family val="2"/>
        <scheme val="minor"/>
      </rPr>
      <t>BSL,AVE</t>
    </r>
  </si>
  <si>
    <t>20yr Avg Baseline</t>
  </si>
  <si>
    <t>6 &amp; 7</t>
  </si>
  <si>
    <t>T</t>
  </si>
  <si>
    <r>
      <t xml:space="preserve">Year </t>
    </r>
    <r>
      <rPr>
        <i/>
        <sz val="11"/>
        <color theme="1"/>
        <rFont val="Calibri"/>
        <family val="2"/>
        <scheme val="minor"/>
      </rPr>
      <t>T</t>
    </r>
  </si>
  <si>
    <t>8, 9, &amp; 10</t>
  </si>
  <si>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</rPr>
      <t>C</t>
    </r>
    <r>
      <rPr>
        <i/>
        <vertAlign val="subscript"/>
        <sz val="11"/>
        <color theme="1"/>
        <rFont val="Calibri"/>
        <family val="2"/>
      </rPr>
      <t>BSL,t</t>
    </r>
  </si>
  <si>
    <t>ΔC Baseline</t>
  </si>
  <si>
    <t>Project</t>
  </si>
  <si>
    <r>
      <t>C</t>
    </r>
    <r>
      <rPr>
        <i/>
        <vertAlign val="subscript"/>
        <sz val="11"/>
        <color theme="1"/>
        <rFont val="Calibri"/>
        <family val="2"/>
        <scheme val="minor"/>
      </rPr>
      <t>P,TREE,t</t>
    </r>
  </si>
  <si>
    <r>
      <t>Live Tree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Project</t>
    </r>
  </si>
  <si>
    <r>
      <t>C</t>
    </r>
    <r>
      <rPr>
        <i/>
        <vertAlign val="subscript"/>
        <sz val="11"/>
        <color theme="1"/>
        <rFont val="Calibri"/>
        <family val="2"/>
        <scheme val="minor"/>
      </rPr>
      <t>P,DEAD,t</t>
    </r>
  </si>
  <si>
    <r>
      <t>Dead Wood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Project</t>
    </r>
  </si>
  <si>
    <r>
      <t>C</t>
    </r>
    <r>
      <rPr>
        <i/>
        <vertAlign val="subscript"/>
        <sz val="11"/>
        <color theme="1"/>
        <rFont val="Calibri"/>
        <family val="2"/>
        <scheme val="minor"/>
      </rPr>
      <t>P,HWP,t</t>
    </r>
  </si>
  <si>
    <t>HWP Project</t>
  </si>
  <si>
    <r>
      <t>GHG</t>
    </r>
    <r>
      <rPr>
        <i/>
        <vertAlign val="subscript"/>
        <sz val="10"/>
        <color theme="1"/>
        <rFont val="Calibri"/>
        <family val="2"/>
        <scheme val="minor"/>
      </rPr>
      <t>P,t</t>
    </r>
  </si>
  <si>
    <t>GHG Emissions Project</t>
  </si>
  <si>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</rPr>
      <t>C</t>
    </r>
    <r>
      <rPr>
        <i/>
        <vertAlign val="subscript"/>
        <sz val="11"/>
        <color theme="1"/>
        <rFont val="Calibri"/>
        <family val="2"/>
      </rPr>
      <t>P,t</t>
    </r>
  </si>
  <si>
    <t>ΔC Project</t>
  </si>
  <si>
    <t>Uncertainty</t>
  </si>
  <si>
    <r>
      <t>UNC</t>
    </r>
    <r>
      <rPr>
        <i/>
        <vertAlign val="subscript"/>
        <sz val="11"/>
        <color theme="1"/>
        <rFont val="Calibri"/>
        <family val="2"/>
      </rPr>
      <t>BSL</t>
    </r>
  </si>
  <si>
    <t>Baseline Stocks Uncertainty</t>
  </si>
  <si>
    <r>
      <t>UNC</t>
    </r>
    <r>
      <rPr>
        <i/>
        <vertAlign val="subscript"/>
        <sz val="11"/>
        <color theme="1"/>
        <rFont val="Calibri"/>
        <family val="2"/>
      </rPr>
      <t>P,t</t>
    </r>
  </si>
  <si>
    <t>Project Stocks Uncertainty</t>
  </si>
  <si>
    <r>
      <t>UNC</t>
    </r>
    <r>
      <rPr>
        <i/>
        <vertAlign val="subscript"/>
        <sz val="11"/>
        <color theme="1"/>
        <rFont val="Calibri"/>
        <family val="2"/>
      </rPr>
      <t>t</t>
    </r>
  </si>
  <si>
    <t>Total Uncertainty</t>
  </si>
  <si>
    <r>
      <t>UNC</t>
    </r>
    <r>
      <rPr>
        <i/>
        <vertAlign val="subscript"/>
        <sz val="11"/>
        <color theme="1"/>
        <rFont val="Calibri"/>
        <family val="2"/>
      </rPr>
      <t>DED,t</t>
    </r>
  </si>
  <si>
    <t>Uncertainty deduction</t>
  </si>
  <si>
    <t>Crediting</t>
  </si>
  <si>
    <r>
      <t>C</t>
    </r>
    <r>
      <rPr>
        <i/>
        <vertAlign val="subscript"/>
        <sz val="11"/>
        <color theme="1"/>
        <rFont val="Calibri"/>
        <family val="2"/>
        <scheme val="minor"/>
      </rPr>
      <t>ACR</t>
    </r>
    <r>
      <rPr>
        <i/>
        <sz val="11"/>
        <color theme="1"/>
        <rFont val="Calibri"/>
        <family val="2"/>
        <scheme val="minor"/>
      </rPr>
      <t>,</t>
    </r>
    <r>
      <rPr>
        <i/>
        <vertAlign val="subscript"/>
        <sz val="11"/>
        <color theme="1"/>
        <rFont val="Calibri"/>
        <family val="2"/>
        <scheme val="minor"/>
      </rPr>
      <t>t</t>
    </r>
  </si>
  <si>
    <r>
      <t xml:space="preserve">Total Emission Reductions, RP </t>
    </r>
    <r>
      <rPr>
        <i/>
        <sz val="11"/>
        <color theme="1"/>
        <rFont val="Calibri"/>
        <family val="2"/>
        <scheme val="minor"/>
      </rPr>
      <t>t</t>
    </r>
  </si>
  <si>
    <r>
      <t>ERT</t>
    </r>
    <r>
      <rPr>
        <i/>
        <vertAlign val="subscript"/>
        <sz val="11"/>
        <color theme="1"/>
        <rFont val="Calibri"/>
        <family val="2"/>
        <scheme val="minor"/>
      </rPr>
      <t>RP,t</t>
    </r>
  </si>
  <si>
    <r>
      <t xml:space="preserve">Total ERTs, RP </t>
    </r>
    <r>
      <rPr>
        <i/>
        <sz val="11"/>
        <color theme="1"/>
        <rFont val="Calibri"/>
        <family val="2"/>
        <scheme val="minor"/>
      </rPr>
      <t>t</t>
    </r>
  </si>
  <si>
    <r>
      <t>BUF</t>
    </r>
    <r>
      <rPr>
        <i/>
        <vertAlign val="subscript"/>
        <sz val="11"/>
        <color theme="1"/>
        <rFont val="Calibri"/>
        <family val="2"/>
        <scheme val="minor"/>
      </rPr>
      <t>RP,t</t>
    </r>
  </si>
  <si>
    <r>
      <t xml:space="preserve">Buffer Pool Contribution, RP </t>
    </r>
    <r>
      <rPr>
        <i/>
        <sz val="11"/>
        <color theme="1"/>
        <rFont val="Calibri"/>
        <family val="2"/>
        <scheme val="minor"/>
      </rPr>
      <t>t</t>
    </r>
  </si>
  <si>
    <r>
      <t>ERT</t>
    </r>
    <r>
      <rPr>
        <i/>
        <vertAlign val="subscript"/>
        <sz val="11"/>
        <color theme="1"/>
        <rFont val="Calibri"/>
        <family val="2"/>
        <scheme val="minor"/>
      </rPr>
      <t>NETRP,t</t>
    </r>
  </si>
  <si>
    <r>
      <t xml:space="preserve">Net ERTs, RP </t>
    </r>
    <r>
      <rPr>
        <i/>
        <sz val="11"/>
        <color theme="1"/>
        <rFont val="Calibri"/>
        <family val="2"/>
        <scheme val="minor"/>
      </rPr>
      <t>t</t>
    </r>
  </si>
  <si>
    <r>
      <t>ERT</t>
    </r>
    <r>
      <rPr>
        <i/>
        <vertAlign val="subscript"/>
        <sz val="11"/>
        <color theme="1"/>
        <rFont val="Calibri"/>
        <family val="2"/>
        <scheme val="minor"/>
      </rPr>
      <t>VIN,t</t>
    </r>
  </si>
  <si>
    <r>
      <t xml:space="preserve">Total ERTs, Vintage A, RP </t>
    </r>
    <r>
      <rPr>
        <i/>
        <sz val="11"/>
        <color theme="1"/>
        <rFont val="Calibri"/>
        <family val="2"/>
        <scheme val="minor"/>
      </rPr>
      <t>t</t>
    </r>
  </si>
  <si>
    <r>
      <t xml:space="preserve">Total ERTs, Vintage B, RP </t>
    </r>
    <r>
      <rPr>
        <i/>
        <sz val="11"/>
        <color theme="1"/>
        <rFont val="Calibri"/>
        <family val="2"/>
        <scheme val="minor"/>
      </rPr>
      <t>t</t>
    </r>
  </si>
  <si>
    <r>
      <t>BUF</t>
    </r>
    <r>
      <rPr>
        <i/>
        <vertAlign val="subscript"/>
        <sz val="11"/>
        <color theme="1"/>
        <rFont val="Calibri"/>
        <family val="2"/>
        <scheme val="minor"/>
      </rPr>
      <t>VIN,t</t>
    </r>
  </si>
  <si>
    <r>
      <t xml:space="preserve">Buffer Pool Contribution, Vintage A, RP </t>
    </r>
    <r>
      <rPr>
        <i/>
        <sz val="11"/>
        <color theme="1"/>
        <rFont val="Calibri"/>
        <family val="2"/>
        <scheme val="minor"/>
      </rPr>
      <t>t</t>
    </r>
  </si>
  <si>
    <r>
      <t xml:space="preserve">Buffer Pool Contribution, Vintage B, RP </t>
    </r>
    <r>
      <rPr>
        <i/>
        <sz val="11"/>
        <color theme="1"/>
        <rFont val="Calibri"/>
        <family val="2"/>
        <scheme val="minor"/>
      </rPr>
      <t>t</t>
    </r>
  </si>
  <si>
    <r>
      <t>ERT</t>
    </r>
    <r>
      <rPr>
        <i/>
        <vertAlign val="subscript"/>
        <sz val="11"/>
        <color theme="1"/>
        <rFont val="Calibri"/>
        <family val="2"/>
        <scheme val="minor"/>
      </rPr>
      <t>NETVIN,t</t>
    </r>
  </si>
  <si>
    <r>
      <t xml:space="preserve">Net ERTs, Vintage A, RP </t>
    </r>
    <r>
      <rPr>
        <i/>
        <sz val="11"/>
        <color theme="1"/>
        <rFont val="Calibri"/>
        <family val="2"/>
        <scheme val="minor"/>
      </rPr>
      <t>t</t>
    </r>
  </si>
  <si>
    <r>
      <t xml:space="preserve">Net ERTs, Vintage B, RP </t>
    </r>
    <r>
      <rPr>
        <i/>
        <sz val="11"/>
        <color theme="1"/>
        <rFont val="Calibri"/>
        <family val="2"/>
        <scheme val="minor"/>
      </rPr>
      <t>t</t>
    </r>
  </si>
  <si>
    <t>Cumulative Total ERTs Issued</t>
  </si>
  <si>
    <t>Cumulative Buffer Pool Contributions</t>
  </si>
  <si>
    <t>Cumulative Net ERTs Issued</t>
  </si>
  <si>
    <t>Reversals and negative balance</t>
  </si>
  <si>
    <t>Negative balance</t>
  </si>
  <si>
    <r>
      <t xml:space="preserve">Reversals at </t>
    </r>
    <r>
      <rPr>
        <i/>
        <sz val="11"/>
        <color theme="1"/>
        <rFont val="Calibri"/>
        <family val="2"/>
        <scheme val="minor"/>
      </rPr>
      <t>t</t>
    </r>
  </si>
  <si>
    <t>Cumulative Reversals</t>
  </si>
  <si>
    <t>Emission Reductions/Removals (optional)</t>
  </si>
  <si>
    <r>
      <t>REM</t>
    </r>
    <r>
      <rPr>
        <i/>
        <vertAlign val="subscript"/>
        <sz val="11"/>
        <color theme="1"/>
        <rFont val="Calibri"/>
        <family val="2"/>
        <scheme val="minor"/>
      </rPr>
      <t>RP,t</t>
    </r>
  </si>
  <si>
    <r>
      <t xml:space="preserve">Total Removals, RP </t>
    </r>
    <r>
      <rPr>
        <i/>
        <sz val="11"/>
        <color rgb="FF000000"/>
        <rFont val="Calibri"/>
        <family val="2"/>
        <scheme val="minor"/>
      </rPr>
      <t>t</t>
    </r>
  </si>
  <si>
    <r>
      <t>ER</t>
    </r>
    <r>
      <rPr>
        <i/>
        <vertAlign val="subscript"/>
        <sz val="11"/>
        <color theme="1"/>
        <rFont val="Calibri"/>
        <family val="2"/>
        <scheme val="minor"/>
      </rPr>
      <t>RP,t</t>
    </r>
  </si>
  <si>
    <r>
      <t xml:space="preserve">Total Emission Reductions, RP </t>
    </r>
    <r>
      <rPr>
        <i/>
        <sz val="11"/>
        <color rgb="FF000000"/>
        <rFont val="Calibri"/>
        <family val="2"/>
        <scheme val="minor"/>
      </rPr>
      <t>t</t>
    </r>
  </si>
  <si>
    <r>
      <t xml:space="preserve">Removals, Vintage A, RP </t>
    </r>
    <r>
      <rPr>
        <i/>
        <sz val="11"/>
        <color rgb="FF000000"/>
        <rFont val="Calibri"/>
        <family val="2"/>
        <scheme val="minor"/>
      </rPr>
      <t>t</t>
    </r>
  </si>
  <si>
    <r>
      <t xml:space="preserve">Removals, Vintage B RP </t>
    </r>
    <r>
      <rPr>
        <i/>
        <sz val="11"/>
        <color rgb="FF000000"/>
        <rFont val="Calibri"/>
        <family val="2"/>
        <scheme val="minor"/>
      </rPr>
      <t>t</t>
    </r>
  </si>
  <si>
    <r>
      <t xml:space="preserve">Emission Reductions, Vintage A, RP </t>
    </r>
    <r>
      <rPr>
        <i/>
        <sz val="11"/>
        <color rgb="FF000000"/>
        <rFont val="Calibri"/>
        <family val="2"/>
        <scheme val="minor"/>
      </rPr>
      <t>t</t>
    </r>
  </si>
  <si>
    <r>
      <t xml:space="preserve">Emission Reductions, Vintage B, RP </t>
    </r>
    <r>
      <rPr>
        <i/>
        <sz val="11"/>
        <color rgb="FF000000"/>
        <rFont val="Calibri"/>
        <family val="2"/>
        <scheme val="minor"/>
      </rPr>
      <t>t</t>
    </r>
  </si>
  <si>
    <t>Initial Carbon Stocks (for Graphs)</t>
  </si>
  <si>
    <t>Baseline Stocks (for Graphs)</t>
  </si>
  <si>
    <t>Baseline (for Graphs)</t>
  </si>
  <si>
    <t>Project (for Graphs)</t>
  </si>
  <si>
    <r>
      <t xml:space="preserve">This is another example project utilizing ACR's </t>
    </r>
    <r>
      <rPr>
        <i/>
        <sz val="11"/>
        <color theme="1"/>
        <rFont val="Calibri"/>
        <family val="2"/>
        <scheme val="minor"/>
      </rPr>
      <t xml:space="preserve">Methodology for the Quantification, Monitoring, Reporting and Verification of GHG Emission Reductions and Removals from </t>
    </r>
    <r>
      <rPr>
        <b/>
        <i/>
        <sz val="11"/>
        <color theme="1"/>
        <rFont val="Calibri"/>
        <family val="2"/>
        <scheme val="minor"/>
      </rPr>
      <t>Improved Forest Management On Canadian Forestlands</t>
    </r>
    <r>
      <rPr>
        <sz val="11"/>
        <color theme="1"/>
        <rFont val="Calibri"/>
        <family val="2"/>
        <scheme val="minor"/>
      </rPr>
      <t xml:space="preserve"> over one crediting period.</t>
    </r>
  </si>
  <si>
    <t>Example A: No Harvest Project Scenario</t>
  </si>
  <si>
    <t>Example B: Light Harvest Project Scenario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</si>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</sst>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1"/>
      <charset val="2"/>
    </font>
    <font>
      <i/>
      <sz val="11"/>
      <color theme="1"/>
      <name val="Symbol"/>
      <family val="1"/>
      <charset val="2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  <font>
      <i/>
      <vertAlign val="subscript"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164" fontId="0" fillId="3" borderId="0" xfId="0" applyNumberFormat="1" applyFill="1"/>
    <xf numFmtId="0" fontId="4" fillId="0" borderId="0" xfId="0" applyFont="1"/>
    <xf numFmtId="0" fontId="1" fillId="2" borderId="1" xfId="0" applyFont="1" applyFill="1" applyBorder="1"/>
    <xf numFmtId="0" fontId="0" fillId="0" borderId="1" xfId="0" applyBorder="1"/>
    <xf numFmtId="164" fontId="0" fillId="3" borderId="0" xfId="0" applyNumberFormat="1" applyFill="1" applyAlignment="1">
      <alignment horizontal="right"/>
    </xf>
    <xf numFmtId="9" fontId="0" fillId="2" borderId="3" xfId="0" applyNumberFormat="1" applyFill="1" applyBorder="1"/>
    <xf numFmtId="9" fontId="0" fillId="2" borderId="0" xfId="0" applyNumberForma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1" fontId="0" fillId="3" borderId="0" xfId="0" applyNumberFormat="1" applyFill="1" applyAlignment="1">
      <alignment horizontal="right"/>
    </xf>
    <xf numFmtId="0" fontId="1" fillId="4" borderId="3" xfId="0" applyFont="1" applyFill="1" applyBorder="1"/>
    <xf numFmtId="0" fontId="0" fillId="4" borderId="3" xfId="0" applyFill="1" applyBorder="1"/>
    <xf numFmtId="0" fontId="0" fillId="4" borderId="0" xfId="0" applyFill="1"/>
    <xf numFmtId="0" fontId="1" fillId="5" borderId="0" xfId="0" applyFont="1" applyFill="1"/>
    <xf numFmtId="164" fontId="0" fillId="5" borderId="0" xfId="0" applyNumberFormat="1" applyFill="1" applyAlignment="1">
      <alignment horizontal="right"/>
    </xf>
    <xf numFmtId="0" fontId="0" fillId="5" borderId="0" xfId="0" applyFill="1"/>
    <xf numFmtId="165" fontId="0" fillId="5" borderId="0" xfId="1" applyNumberFormat="1" applyFont="1" applyFill="1" applyBorder="1" applyAlignment="1">
      <alignment horizontal="right"/>
    </xf>
    <xf numFmtId="165" fontId="0" fillId="5" borderId="0" xfId="0" applyNumberFormat="1" applyFill="1" applyAlignment="1">
      <alignment horizontal="right"/>
    </xf>
    <xf numFmtId="0" fontId="1" fillId="6" borderId="3" xfId="0" applyFont="1" applyFill="1" applyBorder="1"/>
    <xf numFmtId="0" fontId="0" fillId="6" borderId="3" xfId="0" applyFill="1" applyBorder="1"/>
    <xf numFmtId="0" fontId="0" fillId="6" borderId="0" xfId="0" applyFill="1"/>
    <xf numFmtId="164" fontId="0" fillId="6" borderId="3" xfId="0" applyNumberFormat="1" applyFill="1" applyBorder="1"/>
    <xf numFmtId="164" fontId="0" fillId="6" borderId="0" xfId="0" applyNumberFormat="1" applyFill="1" applyAlignment="1">
      <alignment horizontal="right"/>
    </xf>
    <xf numFmtId="0" fontId="0" fillId="6" borderId="1" xfId="0" applyFill="1" applyBorder="1"/>
    <xf numFmtId="164" fontId="0" fillId="6" borderId="1" xfId="0" applyNumberFormat="1" applyFill="1" applyBorder="1" applyAlignment="1">
      <alignment horizontal="right"/>
    </xf>
    <xf numFmtId="164" fontId="0" fillId="4" borderId="0" xfId="0" applyNumberFormat="1" applyFill="1"/>
    <xf numFmtId="14" fontId="0" fillId="2" borderId="0" xfId="0" applyNumberFormat="1" applyFill="1"/>
    <xf numFmtId="1" fontId="0" fillId="4" borderId="0" xfId="0" applyNumberFormat="1" applyFill="1"/>
    <xf numFmtId="164" fontId="0" fillId="2" borderId="0" xfId="0" applyNumberFormat="1" applyFill="1"/>
    <xf numFmtId="0" fontId="1" fillId="7" borderId="3" xfId="0" applyFont="1" applyFill="1" applyBorder="1"/>
    <xf numFmtId="164" fontId="0" fillId="7" borderId="3" xfId="0" applyNumberFormat="1" applyFill="1" applyBorder="1"/>
    <xf numFmtId="0" fontId="0" fillId="7" borderId="0" xfId="0" applyFill="1"/>
    <xf numFmtId="164" fontId="0" fillId="7" borderId="0" xfId="0" applyNumberFormat="1" applyFill="1"/>
    <xf numFmtId="1" fontId="0" fillId="7" borderId="0" xfId="0" applyNumberFormat="1" applyFill="1"/>
    <xf numFmtId="0" fontId="0" fillId="7" borderId="1" xfId="0" applyFill="1" applyBorder="1"/>
    <xf numFmtId="164" fontId="0" fillId="7" borderId="1" xfId="0" applyNumberFormat="1" applyFill="1" applyBorder="1"/>
    <xf numFmtId="1" fontId="0" fillId="7" borderId="1" xfId="0" applyNumberFormat="1" applyFill="1" applyBorder="1"/>
    <xf numFmtId="9" fontId="0" fillId="2" borderId="0" xfId="1" applyFont="1" applyFill="1"/>
    <xf numFmtId="0" fontId="0" fillId="2" borderId="0" xfId="0" applyFill="1" applyAlignment="1">
      <alignment horizontal="left"/>
    </xf>
    <xf numFmtId="1" fontId="0" fillId="0" borderId="0" xfId="0" applyNumberFormat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17" fontId="0" fillId="0" borderId="0" xfId="0" applyNumberFormat="1"/>
    <xf numFmtId="14" fontId="1" fillId="2" borderId="2" xfId="0" applyNumberFormat="1" applyFont="1" applyFill="1" applyBorder="1" applyAlignment="1">
      <alignment horizontal="center"/>
    </xf>
    <xf numFmtId="164" fontId="0" fillId="8" borderId="0" xfId="0" applyNumberFormat="1" applyFill="1"/>
    <xf numFmtId="1" fontId="0" fillId="8" borderId="0" xfId="0" applyNumberFormat="1" applyFill="1"/>
    <xf numFmtId="0" fontId="11" fillId="9" borderId="0" xfId="0" applyFont="1" applyFill="1"/>
    <xf numFmtId="0" fontId="12" fillId="9" borderId="0" xfId="0" applyFont="1" applyFill="1"/>
    <xf numFmtId="0" fontId="12" fillId="10" borderId="0" xfId="0" applyFont="1" applyFill="1"/>
    <xf numFmtId="0" fontId="12" fillId="8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No Harvest Project Scenario, 1st Crediting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Project Stocks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A-No Harvest Project'!$D$72:$X$72</c:f>
              <c:numCache>
                <c:formatCode>0.0</c:formatCode>
                <c:ptCount val="21"/>
                <c:pt idx="0">
                  <c:v>20939.759999999998</c:v>
                </c:pt>
                <c:pt idx="1">
                  <c:v>21749.137600000002</c:v>
                </c:pt>
                <c:pt idx="2">
                  <c:v>22533.966400000001</c:v>
                </c:pt>
                <c:pt idx="3">
                  <c:v>23283.9872</c:v>
                </c:pt>
                <c:pt idx="4">
                  <c:v>24161.515200000002</c:v>
                </c:pt>
                <c:pt idx="5">
                  <c:v>24952.572799999998</c:v>
                </c:pt>
                <c:pt idx="6">
                  <c:v>25654.961600000002</c:v>
                </c:pt>
                <c:pt idx="7">
                  <c:v>26458.4768</c:v>
                </c:pt>
                <c:pt idx="8">
                  <c:v>27168.926400000004</c:v>
                </c:pt>
                <c:pt idx="9">
                  <c:v>27794.004800000002</c:v>
                </c:pt>
                <c:pt idx="10">
                  <c:v>28409.556799999998</c:v>
                </c:pt>
                <c:pt idx="11">
                  <c:v>29023.2768</c:v>
                </c:pt>
                <c:pt idx="12">
                  <c:v>29603.458390067615</c:v>
                </c:pt>
                <c:pt idx="13">
                  <c:v>30153.403660949331</c:v>
                </c:pt>
                <c:pt idx="14">
                  <c:v>30713.241731831051</c:v>
                </c:pt>
                <c:pt idx="15">
                  <c:v>31218.119802712772</c:v>
                </c:pt>
                <c:pt idx="16">
                  <c:v>31697.716273594488</c:v>
                </c:pt>
                <c:pt idx="17">
                  <c:v>32175.560815537065</c:v>
                </c:pt>
                <c:pt idx="18">
                  <c:v>32646.124830212328</c:v>
                </c:pt>
                <c:pt idx="19">
                  <c:v>33072.354444887591</c:v>
                </c:pt>
                <c:pt idx="20">
                  <c:v>33512.873659562858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0A5-464E-A86F-E0C6BCCA2D9D}"/>
            </c:ext>
          </c:extLst>
        </c:ser>
        <c:ser>
          <c:idx val="2"/>
          <c:order val="1"/>
          <c:tx>
            <c:v>Baseline Stocks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A-No Harvest Project'!$D$70:$X$70</c:f>
              <c:numCache>
                <c:formatCode>0.0</c:formatCode>
                <c:ptCount val="21"/>
                <c:pt idx="0">
                  <c:v>20939.759999999998</c:v>
                </c:pt>
                <c:pt idx="1">
                  <c:v>15536.8256</c:v>
                </c:pt>
                <c:pt idx="2">
                  <c:v>10801.472000000002</c:v>
                </c:pt>
                <c:pt idx="3">
                  <c:v>11392.475199999999</c:v>
                </c:pt>
                <c:pt idx="4">
                  <c:v>12145.793600000001</c:v>
                </c:pt>
                <c:pt idx="5">
                  <c:v>12795.4208</c:v>
                </c:pt>
                <c:pt idx="6">
                  <c:v>13386.424000000001</c:v>
                </c:pt>
                <c:pt idx="7">
                  <c:v>14081.851199999999</c:v>
                </c:pt>
                <c:pt idx="8">
                  <c:v>11973.951999999999</c:v>
                </c:pt>
                <c:pt idx="9">
                  <c:v>12481.416000000001</c:v>
                </c:pt>
                <c:pt idx="10">
                  <c:v>12999.871999999998</c:v>
                </c:pt>
                <c:pt idx="11">
                  <c:v>10535.465600000001</c:v>
                </c:pt>
                <c:pt idx="12">
                  <c:v>11117.308799999999</c:v>
                </c:pt>
                <c:pt idx="13">
                  <c:v>11771.3328</c:v>
                </c:pt>
                <c:pt idx="14">
                  <c:v>8851.8576000000012</c:v>
                </c:pt>
                <c:pt idx="15">
                  <c:v>9496.7216000000008</c:v>
                </c:pt>
                <c:pt idx="16">
                  <c:v>10157.340799999998</c:v>
                </c:pt>
                <c:pt idx="17">
                  <c:v>11228.328</c:v>
                </c:pt>
                <c:pt idx="18">
                  <c:v>12418.7616</c:v>
                </c:pt>
                <c:pt idx="19">
                  <c:v>13305.083199999999</c:v>
                </c:pt>
                <c:pt idx="20">
                  <c:v>10789.380800000001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A5-464E-A86F-E0C6BCCA2D9D}"/>
            </c:ext>
          </c:extLst>
        </c:ser>
        <c:ser>
          <c:idx val="3"/>
          <c:order val="2"/>
          <c:tx>
            <c:v>Baseline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A-No Harvest Project'!$D$71:$X$71</c:f>
              <c:numCache>
                <c:formatCode>0.0</c:formatCode>
                <c:ptCount val="21"/>
                <c:pt idx="0">
                  <c:v>20939.759999999998</c:v>
                </c:pt>
                <c:pt idx="1">
                  <c:v>15536.8256</c:v>
                </c:pt>
                <c:pt idx="2">
                  <c:v>12456.142425904765</c:v>
                </c:pt>
                <c:pt idx="3">
                  <c:v>12456.142425904765</c:v>
                </c:pt>
                <c:pt idx="4">
                  <c:v>12456.142425904765</c:v>
                </c:pt>
                <c:pt idx="5">
                  <c:v>12456.142425904765</c:v>
                </c:pt>
                <c:pt idx="6">
                  <c:v>12456.142425904765</c:v>
                </c:pt>
                <c:pt idx="7">
                  <c:v>12456.142425904765</c:v>
                </c:pt>
                <c:pt idx="8">
                  <c:v>12456.142425904765</c:v>
                </c:pt>
                <c:pt idx="9">
                  <c:v>12456.142425904765</c:v>
                </c:pt>
                <c:pt idx="10">
                  <c:v>12456.142425904765</c:v>
                </c:pt>
                <c:pt idx="11">
                  <c:v>12456.142425904765</c:v>
                </c:pt>
                <c:pt idx="12">
                  <c:v>12456.142425904765</c:v>
                </c:pt>
                <c:pt idx="13">
                  <c:v>12456.142425904765</c:v>
                </c:pt>
                <c:pt idx="14">
                  <c:v>12456.142425904765</c:v>
                </c:pt>
                <c:pt idx="15">
                  <c:v>12456.142425904765</c:v>
                </c:pt>
                <c:pt idx="16">
                  <c:v>12456.142425904765</c:v>
                </c:pt>
                <c:pt idx="17">
                  <c:v>12456.142425904765</c:v>
                </c:pt>
                <c:pt idx="18">
                  <c:v>12456.142425904765</c:v>
                </c:pt>
                <c:pt idx="19">
                  <c:v>12456.142425904765</c:v>
                </c:pt>
                <c:pt idx="20">
                  <c:v>12456.142425904765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5-464E-A86F-E0C6BCCA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82424"/>
        <c:axId val="566183408"/>
      </c:lineChart>
      <c:scatterChart>
        <c:scatterStyle val="lineMarker"/>
        <c:varyColors val="0"/>
        <c:ser>
          <c:idx val="0"/>
          <c:order val="3"/>
          <c:tx>
            <c:v>Initial Carbon Stocks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'Example A-No Harvest Project'!$D$69:$X$69</c:f>
              <c:numCache>
                <c:formatCode>0.0</c:formatCode>
                <c:ptCount val="21"/>
                <c:pt idx="0">
                  <c:v>20939.759999999998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A5-464E-A86F-E0C6BCCA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182424"/>
        <c:axId val="566183408"/>
      </c:scatterChart>
      <c:catAx>
        <c:axId val="566182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Project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183408"/>
        <c:crosses val="autoZero"/>
        <c:auto val="1"/>
        <c:lblAlgn val="ctr"/>
        <c:lblOffset val="100"/>
        <c:noMultiLvlLbl val="0"/>
      </c:catAx>
      <c:valAx>
        <c:axId val="56618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Carbon stocks (t CO2e)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b="1">
                    <a:solidFill>
                      <a:sysClr val="windowText" lastClr="000000"/>
                    </a:solidFill>
                  </a:defRPr>
                </a:pPr>
                <a:endPara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2.4322830292979547E-2"/>
              <c:y val="0.25754317450391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18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Light Harvest Project Scenario, 1st Crediting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Project Stocks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B-Light Harvest Project'!$D$72:$X$72</c:f>
              <c:numCache>
                <c:formatCode>0.0</c:formatCode>
                <c:ptCount val="21"/>
                <c:pt idx="0">
                  <c:v>18758.947200000002</c:v>
                </c:pt>
                <c:pt idx="1">
                  <c:v>19596.171199999997</c:v>
                </c:pt>
                <c:pt idx="2">
                  <c:v>20404.4496</c:v>
                </c:pt>
                <c:pt idx="3">
                  <c:v>19249.556799999998</c:v>
                </c:pt>
                <c:pt idx="4">
                  <c:v>20264.484800000006</c:v>
                </c:pt>
                <c:pt idx="5">
                  <c:v>21120.395199999999</c:v>
                </c:pt>
                <c:pt idx="6">
                  <c:v>21877.377600000003</c:v>
                </c:pt>
                <c:pt idx="7">
                  <c:v>22797.774400000002</c:v>
                </c:pt>
                <c:pt idx="8">
                  <c:v>23582.236799999999</c:v>
                </c:pt>
                <c:pt idx="9">
                  <c:v>24274</c:v>
                </c:pt>
                <c:pt idx="10">
                  <c:v>24950.007999999998</c:v>
                </c:pt>
                <c:pt idx="11">
                  <c:v>25619.054400000001</c:v>
                </c:pt>
                <c:pt idx="12">
                  <c:v>26255.109428081138</c:v>
                </c:pt>
                <c:pt idx="13">
                  <c:v>24271.467753139201</c:v>
                </c:pt>
                <c:pt idx="14">
                  <c:v>24872.04527819726</c:v>
                </c:pt>
                <c:pt idx="15">
                  <c:v>25432.318803255326</c:v>
                </c:pt>
                <c:pt idx="16">
                  <c:v>25979.768328313388</c:v>
                </c:pt>
                <c:pt idx="17">
                  <c:v>26516.225853371448</c:v>
                </c:pt>
                <c:pt idx="18">
                  <c:v>27039.859378429508</c:v>
                </c:pt>
                <c:pt idx="19">
                  <c:v>24401.460903487572</c:v>
                </c:pt>
                <c:pt idx="20">
                  <c:v>24914.102428545633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CD-40E6-8A86-82459A193DF6}"/>
            </c:ext>
          </c:extLst>
        </c:ser>
        <c:ser>
          <c:idx val="2"/>
          <c:order val="1"/>
          <c:tx>
            <c:v>Baseline Stocks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B-Light Harvest Project'!$D$70:$X$70</c:f>
              <c:numCache>
                <c:formatCode>0.0</c:formatCode>
                <c:ptCount val="21"/>
                <c:pt idx="0">
                  <c:v>18758.947200000002</c:v>
                </c:pt>
                <c:pt idx="1">
                  <c:v>13662.689600000002</c:v>
                </c:pt>
                <c:pt idx="2">
                  <c:v>10470.612800000001</c:v>
                </c:pt>
                <c:pt idx="3">
                  <c:v>11138.193599999999</c:v>
                </c:pt>
                <c:pt idx="4">
                  <c:v>12073.9792</c:v>
                </c:pt>
                <c:pt idx="5">
                  <c:v>12837.190399999999</c:v>
                </c:pt>
                <c:pt idx="6">
                  <c:v>13517.961599999999</c:v>
                </c:pt>
                <c:pt idx="7">
                  <c:v>14364.712</c:v>
                </c:pt>
                <c:pt idx="8">
                  <c:v>12668.280000000002</c:v>
                </c:pt>
                <c:pt idx="9">
                  <c:v>13271.7408</c:v>
                </c:pt>
                <c:pt idx="10">
                  <c:v>13880.331200000002</c:v>
                </c:pt>
                <c:pt idx="11">
                  <c:v>11494.334400000002</c:v>
                </c:pt>
                <c:pt idx="12">
                  <c:v>12137.7328</c:v>
                </c:pt>
                <c:pt idx="13">
                  <c:v>12832.060799999997</c:v>
                </c:pt>
                <c:pt idx="14">
                  <c:v>10538.396800000002</c:v>
                </c:pt>
                <c:pt idx="15">
                  <c:v>11206.7104</c:v>
                </c:pt>
                <c:pt idx="16">
                  <c:v>11881.619200000001</c:v>
                </c:pt>
                <c:pt idx="17">
                  <c:v>12937.217600000002</c:v>
                </c:pt>
                <c:pt idx="18">
                  <c:v>14012.968000000001</c:v>
                </c:pt>
                <c:pt idx="19">
                  <c:v>14849.8256</c:v>
                </c:pt>
                <c:pt idx="20">
                  <c:v>12608.5568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CD-40E6-8A86-82459A193DF6}"/>
            </c:ext>
          </c:extLst>
        </c:ser>
        <c:ser>
          <c:idx val="3"/>
          <c:order val="2"/>
          <c:tx>
            <c:v>Baseline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'Example A-No Harvest Project'!$D$20:$X$20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'Example B-Light Harvest Project'!$D$71:$X$71</c:f>
              <c:numCache>
                <c:formatCode>0.0</c:formatCode>
                <c:ptCount val="21"/>
                <c:pt idx="0">
                  <c:v>18758.947200000002</c:v>
                </c:pt>
                <c:pt idx="1">
                  <c:v>13662.689600000002</c:v>
                </c:pt>
                <c:pt idx="2">
                  <c:v>13052.770214857144</c:v>
                </c:pt>
                <c:pt idx="3">
                  <c:v>13052.770214857144</c:v>
                </c:pt>
                <c:pt idx="4">
                  <c:v>13052.770214857144</c:v>
                </c:pt>
                <c:pt idx="5">
                  <c:v>13052.770214857144</c:v>
                </c:pt>
                <c:pt idx="6">
                  <c:v>13052.770214857144</c:v>
                </c:pt>
                <c:pt idx="7">
                  <c:v>13052.770214857144</c:v>
                </c:pt>
                <c:pt idx="8">
                  <c:v>13052.770214857144</c:v>
                </c:pt>
                <c:pt idx="9">
                  <c:v>13052.770214857144</c:v>
                </c:pt>
                <c:pt idx="10">
                  <c:v>13052.770214857144</c:v>
                </c:pt>
                <c:pt idx="11">
                  <c:v>13052.770214857144</c:v>
                </c:pt>
                <c:pt idx="12">
                  <c:v>13052.770214857144</c:v>
                </c:pt>
                <c:pt idx="13">
                  <c:v>13052.770214857144</c:v>
                </c:pt>
                <c:pt idx="14">
                  <c:v>13052.770214857144</c:v>
                </c:pt>
                <c:pt idx="15">
                  <c:v>13052.770214857144</c:v>
                </c:pt>
                <c:pt idx="16">
                  <c:v>13052.770214857144</c:v>
                </c:pt>
                <c:pt idx="17">
                  <c:v>13052.770214857144</c:v>
                </c:pt>
                <c:pt idx="18">
                  <c:v>13052.770214857144</c:v>
                </c:pt>
                <c:pt idx="19">
                  <c:v>13052.770214857144</c:v>
                </c:pt>
                <c:pt idx="20">
                  <c:v>13052.770214857144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D-40E6-8A86-82459A19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82424"/>
        <c:axId val="566183408"/>
      </c:lineChart>
      <c:scatterChart>
        <c:scatterStyle val="lineMarker"/>
        <c:varyColors val="0"/>
        <c:ser>
          <c:idx val="0"/>
          <c:order val="3"/>
          <c:tx>
            <c:v>Initial Carbon Stocks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'Example B-Light Harvest Project'!$D$69</c:f>
              <c:numCache>
                <c:formatCode>0.0</c:formatCode>
                <c:ptCount val="1"/>
                <c:pt idx="0">
                  <c:v>18758.947200000002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CD-40E6-8A86-82459A19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182424"/>
        <c:axId val="566183408"/>
      </c:scatterChart>
      <c:catAx>
        <c:axId val="566182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Project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183408"/>
        <c:crosses val="autoZero"/>
        <c:auto val="1"/>
        <c:lblAlgn val="ctr"/>
        <c:lblOffset val="100"/>
        <c:noMultiLvlLbl val="0"/>
      </c:catAx>
      <c:valAx>
        <c:axId val="56618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Carbon stocks (t CO2e)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b="1">
                    <a:solidFill>
                      <a:sysClr val="windowText" lastClr="000000"/>
                    </a:solidFill>
                  </a:defRPr>
                </a:pPr>
                <a:endPara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2.4322830292979547E-2"/>
              <c:y val="0.25754317450391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en-US"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18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-47625</xdr:rowOff>
    </xdr:from>
    <xdr:to>
      <xdr:col>1</xdr:col>
      <xdr:colOff>342900</xdr:colOff>
      <xdr:row>0</xdr:row>
      <xdr:rowOff>-47625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0F1E97-043F-471C-B027-5E3324B6A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808" t="29824" r="21134" b="60916"/>
        <a:stretch/>
      </xdr:blipFill>
      <xdr:spPr>
        <a:xfrm>
          <a:off x="1066800" y="-47625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9</xdr:col>
      <xdr:colOff>257175</xdr:colOff>
      <xdr:row>19</xdr:row>
      <xdr:rowOff>42864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0B9018-A63B-4591-AE0C-3D5DD7D21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171450</xdr:rowOff>
    </xdr:from>
    <xdr:to>
      <xdr:col>9</xdr:col>
      <xdr:colOff>257175</xdr:colOff>
      <xdr:row>40</xdr:row>
      <xdr:rowOff>33339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844388-0D44-4292-BECE-2A99D8AC3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aylor, Andrew" id="{9D806F36-0F0A-4807-B637-D57CBD067F3A}" userId="S::Andrew.Taylor@winrock.org::aebfda3d-ecea-4655-8858-78384daafa3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2" dT="2020-04-02T21:03:54.21" personId="{9D806F36-0F0A-4807-B637-D57CBD067F3A}" id="{81A2D5FA-C531-4A13-BBEA-B96E10C78375}">
    <text>New inventory data is measured every 10 years, in compliance with the IFM protocol. This calculates new uncertainty stats.</text>
  </threadedComment>
  <threadedComment ref="E49" dT="2020-12-28T18:48:26.60" personId="{9D806F36-0F0A-4807-B637-D57CBD067F3A}" id="{64FC928D-2CD6-4567-8ED2-7800DF045812}">
    <text>Example A assumes a project Start Date of 9/15/2020. The Start Date can be set in ACR Parameters (cell E16). This function only works as written for annual reporting and verifications.</text>
  </threadedComment>
  <threadedComment ref="E59" dT="2021-04-19T18:40:41.06" personId="{9D806F36-0F0A-4807-B637-D57CBD067F3A}" id="{E7F7604D-FF82-420E-BD08-4D3D4C2BE7ED}">
    <text>Negative balance is only applicable prior to the projects first offset credit issuance.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12" dT="2020-04-02T21:03:54.21" personId="{9D806F36-0F0A-4807-B637-D57CBD067F3A}" id="{A778973A-F9C4-4DB9-82CA-8610D5D2BC35}">
    <text>New inventory data is measured every 10 years, in compliance with the IFM protocol. This calculates new uncertainty stats.</text>
  </threadedComment>
  <threadedComment ref="E49" dT="2020-12-28T18:48:26.60" personId="{9D806F36-0F0A-4807-B637-D57CBD067F3A}" id="{0A0F3D91-8C59-43AF-AEB7-697AF8ABA5B4}">
    <text>Example A assumes a project Start Date of 9/15/2020. The Start Date can be set in ACR Parameters (cell E16). This function only works as written for annual reporting and verifications.</text>
  </threadedComment>
  <threadedComment ref="E59" dT="2021-04-19T18:40:41.06" personId="{9D806F36-0F0A-4807-B637-D57CBD067F3A}" id="{6AA2564E-0A37-408F-B982-7CCCAD01B5CD}">
    <text>Negative balance is only applicable prior to the projects first offset credit issuance.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FC98-A67D-42F2-8EB9-7AA9BDEF53F9}">
  <dimension ref="A1:B5"/>
  <sheetViews>
    <sheetView tabSelected="1" workbookViewId="0"/>
  </sheetViews>
  <sheetFormatPr baseColWidth="10" defaultColWidth="8.83203125" defaultRowHeight="15" x14ac:dyDescent="0.2"/>
  <cols>
    <col min="1" max="1" width="18" bestFit="1" customWidth="1"/>
  </cols>
  <sheetData>
    <row r="1" spans="1:2" x14ac:dyDescent="0.2">
      <c r="A1" s="2" t="s">
        <v>0</v>
      </c>
      <c r="B1" t="s">
        <v>1</v>
      </c>
    </row>
    <row r="3" spans="1:2" x14ac:dyDescent="0.2">
      <c r="A3" s="2" t="s">
        <v>2</v>
      </c>
      <c r="B3" s="1">
        <v>1</v>
      </c>
    </row>
    <row r="5" spans="1:2" x14ac:dyDescent="0.2">
      <c r="A5" s="2" t="s">
        <v>3</v>
      </c>
      <c r="B5" s="57">
        <v>45931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DBAE-7E69-43ED-A51A-8CF3E510BCE6}">
  <sheetPr>
    <pageSetUpPr autoPageBreaks="0"/>
  </sheetPr>
  <dimension ref="A1:Z81"/>
  <sheetViews>
    <sheetView topLeftCell="A7" zoomScaleNormal="100" zoomScaleSheetLayoutView="70" workbookViewId="0">
      <selection activeCell="F31" sqref="F31"/>
    </sheetView>
  </sheetViews>
  <sheetFormatPr baseColWidth="10" defaultColWidth="8.83203125" defaultRowHeight="15" x14ac:dyDescent="0.2"/>
  <cols>
    <col min="1" max="1" width="10.83203125" customWidth="1"/>
    <col min="2" max="2" width="15.5" customWidth="1"/>
    <col min="3" max="3" width="34.5" customWidth="1"/>
    <col min="4" max="4" width="10.6640625" customWidth="1"/>
    <col min="5" max="5" width="11.5" customWidth="1"/>
    <col min="6" max="6" width="11.1640625" customWidth="1"/>
    <col min="7" max="24" width="9.6640625" customWidth="1"/>
  </cols>
  <sheetData>
    <row r="1" spans="1:24" x14ac:dyDescent="0.2">
      <c r="B1" t="s">
        <v>4</v>
      </c>
    </row>
    <row r="2" spans="1:24" x14ac:dyDescent="0.2">
      <c r="B2" t="s">
        <v>5</v>
      </c>
    </row>
    <row r="3" spans="1:24" x14ac:dyDescent="0.2">
      <c r="B3" t="s">
        <v>6</v>
      </c>
    </row>
    <row r="4" spans="1:24" x14ac:dyDescent="0.2">
      <c r="B4" t="s">
        <v>7</v>
      </c>
    </row>
    <row r="5" spans="1:24" x14ac:dyDescent="0.2">
      <c r="B5" t="s">
        <v>8</v>
      </c>
      <c r="M5" s="11"/>
    </row>
    <row r="7" spans="1:24" x14ac:dyDescent="0.2">
      <c r="A7" s="3"/>
      <c r="B7" s="3"/>
      <c r="C7" s="3"/>
      <c r="D7" s="3"/>
      <c r="E7" s="3"/>
      <c r="F7" s="3"/>
      <c r="G7" s="3"/>
      <c r="H7" s="3"/>
      <c r="I7" s="66" t="s">
        <v>9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3"/>
      <c r="U7" s="3"/>
      <c r="V7" s="3"/>
      <c r="W7" s="3"/>
      <c r="X7" s="3"/>
    </row>
    <row r="8" spans="1:24" x14ac:dyDescent="0.2">
      <c r="A8" s="3"/>
      <c r="B8" s="3"/>
      <c r="C8" s="3"/>
      <c r="D8" s="3"/>
      <c r="E8" s="3"/>
      <c r="F8" s="3"/>
      <c r="G8" s="4"/>
      <c r="H8" s="4"/>
      <c r="I8" s="4"/>
      <c r="J8" s="66" t="s">
        <v>10</v>
      </c>
      <c r="K8" s="66"/>
      <c r="L8" s="66"/>
      <c r="M8" s="66"/>
      <c r="N8" s="66"/>
      <c r="O8" s="66"/>
      <c r="P8" s="66"/>
      <c r="Q8" s="66"/>
      <c r="R8" s="66"/>
      <c r="S8" s="4"/>
      <c r="T8" s="4"/>
      <c r="U8" s="4"/>
      <c r="V8" s="3"/>
      <c r="W8" s="3"/>
      <c r="X8" s="3"/>
    </row>
    <row r="9" spans="1:24" x14ac:dyDescent="0.2">
      <c r="A9" s="8"/>
      <c r="B9" s="8"/>
      <c r="C9" s="8"/>
      <c r="D9" s="8"/>
      <c r="E9" s="13"/>
      <c r="F9" s="8"/>
      <c r="G9" s="8"/>
      <c r="H9" s="8"/>
      <c r="I9" s="13"/>
      <c r="J9" s="12"/>
      <c r="K9" s="67" t="s">
        <v>11</v>
      </c>
      <c r="L9" s="67"/>
      <c r="M9" s="67"/>
      <c r="N9" s="67"/>
      <c r="O9" s="67"/>
      <c r="P9" s="67"/>
      <c r="Q9" s="67"/>
      <c r="R9" s="12"/>
      <c r="S9" s="12"/>
      <c r="T9" s="8"/>
      <c r="U9" s="8"/>
      <c r="V9" s="12"/>
      <c r="W9" s="12"/>
      <c r="X9" s="12"/>
    </row>
    <row r="10" spans="1:24" x14ac:dyDescent="0.2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5"/>
      <c r="B12" s="3"/>
      <c r="C12" s="67" t="s">
        <v>12</v>
      </c>
      <c r="D12" s="67"/>
      <c r="E12" s="67"/>
      <c r="F12" s="3"/>
      <c r="G12" s="3"/>
      <c r="H12" s="3"/>
      <c r="I12" s="3"/>
      <c r="J12" s="3"/>
      <c r="K12" s="3"/>
      <c r="L12" s="3"/>
      <c r="M12" s="3"/>
      <c r="O12" s="67" t="s">
        <v>13</v>
      </c>
      <c r="P12" s="67"/>
      <c r="Q12" s="67"/>
      <c r="R12" s="67"/>
      <c r="S12" s="67"/>
      <c r="T12" s="3"/>
      <c r="U12" s="3"/>
      <c r="V12" s="3"/>
      <c r="W12" s="3"/>
    </row>
    <row r="13" spans="1:24" ht="17" x14ac:dyDescent="0.25">
      <c r="A13" s="68" t="s">
        <v>14</v>
      </c>
      <c r="B13" s="68"/>
      <c r="C13" s="69" t="s">
        <v>15</v>
      </c>
      <c r="D13" s="69"/>
      <c r="E13" s="15">
        <v>7.0000000000000007E-2</v>
      </c>
      <c r="F13" s="3"/>
      <c r="G13" s="40"/>
      <c r="H13" s="40"/>
      <c r="I13" s="40"/>
      <c r="J13" s="3"/>
      <c r="K13" s="3"/>
      <c r="L13" s="3"/>
      <c r="M13" s="3"/>
      <c r="N13" s="3" t="s">
        <v>16</v>
      </c>
      <c r="O13" s="65" t="s">
        <v>17</v>
      </c>
      <c r="P13" s="65"/>
      <c r="Q13" s="65"/>
      <c r="R13" s="65"/>
      <c r="S13" s="16">
        <v>0.05</v>
      </c>
      <c r="T13" s="3"/>
      <c r="U13" s="3"/>
      <c r="V13" s="3"/>
      <c r="W13" s="3"/>
      <c r="X13" s="3"/>
    </row>
    <row r="14" spans="1:24" ht="17" x14ac:dyDescent="0.25">
      <c r="A14" s="68" t="s">
        <v>18</v>
      </c>
      <c r="B14" s="68"/>
      <c r="C14" s="65" t="s">
        <v>19</v>
      </c>
      <c r="D14" s="65"/>
      <c r="E14" s="16">
        <v>0.28000000000000003</v>
      </c>
      <c r="F14" s="3"/>
      <c r="G14" s="40"/>
      <c r="H14" s="40"/>
      <c r="I14" s="40"/>
      <c r="J14" s="3"/>
      <c r="K14" s="3"/>
      <c r="L14" s="3"/>
      <c r="M14" s="3"/>
      <c r="N14" s="3" t="s">
        <v>20</v>
      </c>
      <c r="O14" s="65" t="s">
        <v>21</v>
      </c>
      <c r="P14" s="65"/>
      <c r="Q14" s="65"/>
      <c r="R14" s="65"/>
      <c r="S14" s="16">
        <v>0.23</v>
      </c>
      <c r="T14" s="3"/>
      <c r="U14" s="3"/>
      <c r="V14" s="3"/>
      <c r="W14" s="3"/>
      <c r="X14" s="3"/>
    </row>
    <row r="15" spans="1:24" x14ac:dyDescent="0.2">
      <c r="A15" s="5" t="s">
        <v>22</v>
      </c>
      <c r="B15" s="3" t="s">
        <v>23</v>
      </c>
      <c r="C15" s="65" t="s">
        <v>24</v>
      </c>
      <c r="D15" s="65"/>
      <c r="E15" s="49">
        <v>0.4</v>
      </c>
      <c r="F15" s="3"/>
      <c r="G15" s="40"/>
      <c r="H15" s="40"/>
      <c r="I15" s="40"/>
      <c r="J15" s="4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5"/>
      <c r="B16" s="3" t="s">
        <v>25</v>
      </c>
      <c r="C16" s="65" t="s">
        <v>26</v>
      </c>
      <c r="D16" s="65"/>
      <c r="E16" s="16">
        <v>0.15</v>
      </c>
      <c r="F16" s="3"/>
      <c r="G16" s="40"/>
      <c r="H16" s="40"/>
      <c r="I16" s="40"/>
      <c r="J16" s="40"/>
      <c r="K16" s="40"/>
      <c r="L16" s="4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5"/>
      <c r="B17" s="3"/>
      <c r="C17" s="65" t="s">
        <v>27</v>
      </c>
      <c r="D17" s="65"/>
      <c r="E17" s="38">
        <v>44089</v>
      </c>
      <c r="F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x14ac:dyDescent="0.2">
      <c r="A18" s="5"/>
      <c r="B18" s="3"/>
      <c r="C18" s="3"/>
      <c r="D18" s="3"/>
      <c r="E18" s="16"/>
      <c r="F18" s="3"/>
      <c r="G18" s="3"/>
      <c r="H18" s="4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5"/>
      <c r="B19" s="3"/>
      <c r="C19" s="3"/>
      <c r="D19" s="3"/>
      <c r="E19" s="3" t="s">
        <v>28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6" thickBot="1" x14ac:dyDescent="0.25">
      <c r="A20" s="17"/>
      <c r="B20" s="4"/>
      <c r="C20" s="6" t="s">
        <v>29</v>
      </c>
      <c r="D20" s="7">
        <v>0</v>
      </c>
      <c r="E20" s="7">
        <f>D20+1</f>
        <v>1</v>
      </c>
      <c r="F20" s="7">
        <f t="shared" ref="F20:U20" si="0">E20+1</f>
        <v>2</v>
      </c>
      <c r="G20" s="7">
        <f t="shared" si="0"/>
        <v>3</v>
      </c>
      <c r="H20" s="7">
        <f t="shared" si="0"/>
        <v>4</v>
      </c>
      <c r="I20" s="7">
        <f t="shared" si="0"/>
        <v>5</v>
      </c>
      <c r="J20" s="7">
        <f t="shared" si="0"/>
        <v>6</v>
      </c>
      <c r="K20" s="7">
        <f t="shared" si="0"/>
        <v>7</v>
      </c>
      <c r="L20" s="7">
        <f t="shared" si="0"/>
        <v>8</v>
      </c>
      <c r="M20" s="7">
        <f>L20+1</f>
        <v>9</v>
      </c>
      <c r="N20" s="7">
        <f t="shared" si="0"/>
        <v>10</v>
      </c>
      <c r="O20" s="7">
        <f t="shared" si="0"/>
        <v>11</v>
      </c>
      <c r="P20" s="7">
        <f t="shared" si="0"/>
        <v>12</v>
      </c>
      <c r="Q20" s="7">
        <f t="shared" si="0"/>
        <v>13</v>
      </c>
      <c r="R20" s="7">
        <f t="shared" si="0"/>
        <v>14</v>
      </c>
      <c r="S20" s="7">
        <f t="shared" si="0"/>
        <v>15</v>
      </c>
      <c r="T20" s="7">
        <f t="shared" si="0"/>
        <v>16</v>
      </c>
      <c r="U20" s="7">
        <f t="shared" si="0"/>
        <v>17</v>
      </c>
      <c r="V20" s="7">
        <f t="shared" ref="V20:W20" si="1">U20+1</f>
        <v>18</v>
      </c>
      <c r="W20" s="7">
        <f t="shared" si="1"/>
        <v>19</v>
      </c>
      <c r="X20" s="7">
        <f>W20+1</f>
        <v>20</v>
      </c>
    </row>
    <row r="21" spans="1:24" ht="17" thickTop="1" thickBot="1" x14ac:dyDescent="0.25">
      <c r="A21" s="17"/>
      <c r="B21" s="4"/>
      <c r="C21" s="6" t="s">
        <v>30</v>
      </c>
      <c r="D21" s="7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P21" s="7">
        <v>12</v>
      </c>
      <c r="Q21" s="7">
        <v>13</v>
      </c>
      <c r="R21" s="7">
        <v>14</v>
      </c>
      <c r="S21" s="7">
        <v>15</v>
      </c>
      <c r="T21" s="7">
        <v>16</v>
      </c>
      <c r="U21" s="7">
        <v>17</v>
      </c>
      <c r="V21" s="7">
        <v>18</v>
      </c>
      <c r="W21" s="7">
        <v>19</v>
      </c>
      <c r="X21" s="7">
        <v>20</v>
      </c>
    </row>
    <row r="22" spans="1:24" ht="17" thickTop="1" thickBot="1" x14ac:dyDescent="0.25">
      <c r="A22" s="17" t="s">
        <v>31</v>
      </c>
      <c r="B22" s="4" t="s">
        <v>32</v>
      </c>
      <c r="C22" s="6" t="s">
        <v>33</v>
      </c>
      <c r="D22" s="58">
        <v>44089</v>
      </c>
      <c r="E22" s="58">
        <v>44454</v>
      </c>
      <c r="F22" s="58">
        <v>44819</v>
      </c>
      <c r="G22" s="58">
        <v>45184</v>
      </c>
      <c r="H22" s="58">
        <v>45550</v>
      </c>
      <c r="I22" s="58">
        <v>45915</v>
      </c>
      <c r="J22" s="58">
        <v>46280</v>
      </c>
      <c r="K22" s="58">
        <v>46645</v>
      </c>
      <c r="L22" s="58">
        <v>47011</v>
      </c>
      <c r="M22" s="58">
        <v>47376</v>
      </c>
      <c r="N22" s="58">
        <v>47741</v>
      </c>
      <c r="O22" s="58">
        <v>48106</v>
      </c>
      <c r="P22" s="58">
        <v>48472</v>
      </c>
      <c r="Q22" s="58">
        <v>48837</v>
      </c>
      <c r="R22" s="58">
        <v>49202</v>
      </c>
      <c r="S22" s="58">
        <v>49567</v>
      </c>
      <c r="T22" s="58">
        <v>49933</v>
      </c>
      <c r="U22" s="58">
        <v>50298</v>
      </c>
      <c r="V22" s="58">
        <v>50663</v>
      </c>
      <c r="W22" s="58">
        <v>51028</v>
      </c>
      <c r="X22" s="58">
        <v>51394</v>
      </c>
    </row>
    <row r="23" spans="1:24" ht="16" thickTop="1" x14ac:dyDescent="0.2">
      <c r="A23" s="17"/>
      <c r="B23" s="52"/>
      <c r="C23" s="18" t="s">
        <v>34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7" x14ac:dyDescent="0.25">
      <c r="A24" s="5">
        <v>1</v>
      </c>
      <c r="B24" s="53" t="s">
        <v>35</v>
      </c>
      <c r="C24" s="20" t="s">
        <v>36</v>
      </c>
      <c r="D24" s="14">
        <v>19425.062399999999</v>
      </c>
      <c r="E24" s="14">
        <v>14520.0656</v>
      </c>
      <c r="F24" s="14">
        <v>10212.667200000002</v>
      </c>
      <c r="G24" s="14">
        <v>10744.313599999999</v>
      </c>
      <c r="H24" s="14">
        <v>11430.580800000002</v>
      </c>
      <c r="I24" s="14">
        <v>12008.393599999999</v>
      </c>
      <c r="J24" s="14">
        <v>12534.177600000001</v>
      </c>
      <c r="K24" s="14">
        <v>13159.255999999999</v>
      </c>
      <c r="L24" s="14">
        <v>11227.228799999999</v>
      </c>
      <c r="M24" s="14">
        <v>11673.1376</v>
      </c>
      <c r="N24" s="14">
        <v>12127.839999999998</v>
      </c>
      <c r="O24" s="14">
        <v>9879.6096000000016</v>
      </c>
      <c r="P24" s="14">
        <v>10403.561599999999</v>
      </c>
      <c r="Q24" s="14">
        <v>10999.6944</v>
      </c>
      <c r="R24" s="14">
        <v>8353.9200000000019</v>
      </c>
      <c r="S24" s="14">
        <v>8949.32</v>
      </c>
      <c r="T24" s="14">
        <v>9567.0703999999987</v>
      </c>
      <c r="U24" s="14">
        <v>10588.227199999999</v>
      </c>
      <c r="V24" s="14">
        <v>11717.838400000001</v>
      </c>
      <c r="W24" s="14">
        <v>12543.704</v>
      </c>
      <c r="X24" s="14">
        <v>10277.52</v>
      </c>
    </row>
    <row r="25" spans="1:24" ht="17" x14ac:dyDescent="0.25">
      <c r="A25" s="5">
        <v>2</v>
      </c>
      <c r="B25" s="53" t="s">
        <v>37</v>
      </c>
      <c r="C25" s="20" t="s">
        <v>38</v>
      </c>
      <c r="D25" s="14">
        <v>1514.6976000000002</v>
      </c>
      <c r="E25" s="14">
        <v>1016.76</v>
      </c>
      <c r="F25" s="14">
        <v>588.8048</v>
      </c>
      <c r="G25" s="14">
        <v>648.16160000000013</v>
      </c>
      <c r="H25" s="14">
        <v>715.21280000000002</v>
      </c>
      <c r="I25" s="14">
        <v>787.02719999999999</v>
      </c>
      <c r="J25" s="14">
        <v>852.24639999999988</v>
      </c>
      <c r="K25" s="14">
        <v>922.59519999999998</v>
      </c>
      <c r="L25" s="14">
        <v>746.72320000000002</v>
      </c>
      <c r="M25" s="14">
        <v>808.27840000000015</v>
      </c>
      <c r="N25" s="14">
        <v>872.03200000000004</v>
      </c>
      <c r="O25" s="14">
        <v>655.85599999999999</v>
      </c>
      <c r="P25" s="14">
        <v>713.74720000000002</v>
      </c>
      <c r="Q25" s="14">
        <v>771.63840000000005</v>
      </c>
      <c r="R25" s="14">
        <v>497.93760000000015</v>
      </c>
      <c r="S25" s="14">
        <v>547.40160000000014</v>
      </c>
      <c r="T25" s="14">
        <v>590.27040000000011</v>
      </c>
      <c r="U25" s="14">
        <v>640.10080000000005</v>
      </c>
      <c r="V25" s="14">
        <v>700.92319999999995</v>
      </c>
      <c r="W25" s="14">
        <v>761.37920000000008</v>
      </c>
      <c r="X25" s="14">
        <v>511.86079999999998</v>
      </c>
    </row>
    <row r="26" spans="1:24" ht="17" x14ac:dyDescent="0.25">
      <c r="A26" s="5">
        <v>3</v>
      </c>
      <c r="B26" s="53" t="s">
        <v>39</v>
      </c>
      <c r="C26" s="20" t="s">
        <v>40</v>
      </c>
      <c r="D26" s="14"/>
      <c r="E26" s="14">
        <v>832.90048000000002</v>
      </c>
      <c r="F26" s="14">
        <v>713.60064000000011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356.80032000000006</v>
      </c>
      <c r="M26" s="14">
        <v>0</v>
      </c>
      <c r="N26" s="14">
        <v>0</v>
      </c>
      <c r="O26" s="14">
        <v>396.44480000000004</v>
      </c>
      <c r="P26" s="14">
        <v>0</v>
      </c>
      <c r="Q26" s="14">
        <v>0</v>
      </c>
      <c r="R26" s="14">
        <v>475.73376000000002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436.08928000000003</v>
      </c>
    </row>
    <row r="27" spans="1:24" ht="17" x14ac:dyDescent="0.25">
      <c r="A27" s="5">
        <v>3</v>
      </c>
      <c r="B27" s="53" t="s">
        <v>41</v>
      </c>
      <c r="C27" s="20" t="s">
        <v>42</v>
      </c>
      <c r="D27" s="14"/>
      <c r="E27" s="14">
        <f>AVERAGE(E26:X26)</f>
        <v>160.57846400000003</v>
      </c>
      <c r="F27" s="14">
        <f>E27</f>
        <v>160.57846400000003</v>
      </c>
      <c r="G27" s="14">
        <f t="shared" ref="G27:W27" si="2">F27</f>
        <v>160.57846400000003</v>
      </c>
      <c r="H27" s="14">
        <f t="shared" si="2"/>
        <v>160.57846400000003</v>
      </c>
      <c r="I27" s="14">
        <f t="shared" si="2"/>
        <v>160.57846400000003</v>
      </c>
      <c r="J27" s="14">
        <f t="shared" si="2"/>
        <v>160.57846400000003</v>
      </c>
      <c r="K27" s="14">
        <f t="shared" si="2"/>
        <v>160.57846400000003</v>
      </c>
      <c r="L27" s="14">
        <f t="shared" si="2"/>
        <v>160.57846400000003</v>
      </c>
      <c r="M27" s="14">
        <f t="shared" si="2"/>
        <v>160.57846400000003</v>
      </c>
      <c r="N27" s="14">
        <f t="shared" si="2"/>
        <v>160.57846400000003</v>
      </c>
      <c r="O27" s="14">
        <f t="shared" si="2"/>
        <v>160.57846400000003</v>
      </c>
      <c r="P27" s="14">
        <f t="shared" si="2"/>
        <v>160.57846400000003</v>
      </c>
      <c r="Q27" s="14">
        <f t="shared" si="2"/>
        <v>160.57846400000003</v>
      </c>
      <c r="R27" s="14">
        <f t="shared" si="2"/>
        <v>160.57846400000003</v>
      </c>
      <c r="S27" s="14">
        <f t="shared" si="2"/>
        <v>160.57846400000003</v>
      </c>
      <c r="T27" s="14">
        <f t="shared" si="2"/>
        <v>160.57846400000003</v>
      </c>
      <c r="U27" s="14">
        <f t="shared" si="2"/>
        <v>160.57846400000003</v>
      </c>
      <c r="V27" s="14">
        <f t="shared" si="2"/>
        <v>160.57846400000003</v>
      </c>
      <c r="W27" s="14">
        <f t="shared" si="2"/>
        <v>160.57846400000003</v>
      </c>
      <c r="X27" s="14">
        <f>W27</f>
        <v>160.57846400000003</v>
      </c>
    </row>
    <row r="28" spans="1:24" ht="17" x14ac:dyDescent="0.25">
      <c r="A28" s="5">
        <v>4</v>
      </c>
      <c r="B28" s="53" t="s">
        <v>43</v>
      </c>
      <c r="C28" s="20" t="s">
        <v>44</v>
      </c>
      <c r="D28" s="1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</row>
    <row r="29" spans="1:24" ht="17" x14ac:dyDescent="0.25">
      <c r="A29" s="5">
        <v>4</v>
      </c>
      <c r="B29" s="53" t="s">
        <v>45</v>
      </c>
      <c r="C29" s="20" t="s">
        <v>46</v>
      </c>
      <c r="D29" s="14"/>
      <c r="E29" s="14">
        <f>AVERAGE(E28:X28)</f>
        <v>0</v>
      </c>
      <c r="F29" s="14">
        <f>E29</f>
        <v>0</v>
      </c>
      <c r="G29" s="14">
        <f>F29</f>
        <v>0</v>
      </c>
      <c r="H29" s="14">
        <f t="shared" ref="H29:X29" si="3">G29</f>
        <v>0</v>
      </c>
      <c r="I29" s="14">
        <f t="shared" si="3"/>
        <v>0</v>
      </c>
      <c r="J29" s="14">
        <f t="shared" si="3"/>
        <v>0</v>
      </c>
      <c r="K29" s="14">
        <f t="shared" si="3"/>
        <v>0</v>
      </c>
      <c r="L29" s="14">
        <f t="shared" si="3"/>
        <v>0</v>
      </c>
      <c r="M29" s="14">
        <f t="shared" si="3"/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>
        <f t="shared" si="3"/>
        <v>0</v>
      </c>
      <c r="R29" s="14">
        <f t="shared" si="3"/>
        <v>0</v>
      </c>
      <c r="S29" s="14">
        <f t="shared" si="3"/>
        <v>0</v>
      </c>
      <c r="T29" s="14">
        <f t="shared" si="3"/>
        <v>0</v>
      </c>
      <c r="U29" s="14">
        <f t="shared" si="3"/>
        <v>0</v>
      </c>
      <c r="V29" s="14">
        <f t="shared" si="3"/>
        <v>0</v>
      </c>
      <c r="W29" s="14">
        <f t="shared" si="3"/>
        <v>0</v>
      </c>
      <c r="X29" s="14">
        <f t="shared" si="3"/>
        <v>0</v>
      </c>
    </row>
    <row r="30" spans="1:24" ht="17" x14ac:dyDescent="0.25">
      <c r="A30" s="9">
        <v>5</v>
      </c>
      <c r="B30" s="53" t="s">
        <v>47</v>
      </c>
      <c r="C30" s="20" t="s">
        <v>48</v>
      </c>
      <c r="D30" s="14"/>
      <c r="E30" s="14">
        <f>(SUM(D24:X25)/21)+E27</f>
        <v>12456.142425904765</v>
      </c>
      <c r="F30" s="14">
        <f>E30</f>
        <v>12456.142425904765</v>
      </c>
      <c r="G30" s="14">
        <f>F30</f>
        <v>12456.142425904765</v>
      </c>
      <c r="H30" s="14">
        <f t="shared" ref="H30:W30" si="4">G30</f>
        <v>12456.142425904765</v>
      </c>
      <c r="I30" s="14">
        <f t="shared" si="4"/>
        <v>12456.142425904765</v>
      </c>
      <c r="J30" s="14">
        <f t="shared" si="4"/>
        <v>12456.142425904765</v>
      </c>
      <c r="K30" s="14">
        <f t="shared" si="4"/>
        <v>12456.142425904765</v>
      </c>
      <c r="L30" s="14">
        <f t="shared" si="4"/>
        <v>12456.142425904765</v>
      </c>
      <c r="M30" s="14">
        <f t="shared" si="4"/>
        <v>12456.142425904765</v>
      </c>
      <c r="N30" s="14">
        <f t="shared" si="4"/>
        <v>12456.142425904765</v>
      </c>
      <c r="O30" s="14">
        <f t="shared" si="4"/>
        <v>12456.142425904765</v>
      </c>
      <c r="P30" s="14">
        <f t="shared" si="4"/>
        <v>12456.142425904765</v>
      </c>
      <c r="Q30" s="14">
        <f t="shared" si="4"/>
        <v>12456.142425904765</v>
      </c>
      <c r="R30" s="14">
        <f t="shared" si="4"/>
        <v>12456.142425904765</v>
      </c>
      <c r="S30" s="14">
        <f t="shared" si="4"/>
        <v>12456.142425904765</v>
      </c>
      <c r="T30" s="14">
        <f t="shared" si="4"/>
        <v>12456.142425904765</v>
      </c>
      <c r="U30" s="14">
        <f t="shared" si="4"/>
        <v>12456.142425904765</v>
      </c>
      <c r="V30" s="14">
        <f t="shared" si="4"/>
        <v>12456.142425904765</v>
      </c>
      <c r="W30" s="14">
        <f t="shared" si="4"/>
        <v>12456.142425904765</v>
      </c>
      <c r="X30" s="14">
        <f>W30</f>
        <v>12456.142425904765</v>
      </c>
    </row>
    <row r="31" spans="1:24" x14ac:dyDescent="0.2">
      <c r="A31" s="5" t="s">
        <v>49</v>
      </c>
      <c r="B31" s="53" t="s">
        <v>50</v>
      </c>
      <c r="C31" s="20" t="s">
        <v>51</v>
      </c>
      <c r="D31" s="21"/>
      <c r="E31" s="21">
        <f>IF(SUM($D31:D31)=0,(IF($D$24+$D$25&gt;$E$30, IF((E24+E25)&lt;=E30,1,0),IF((E24+E25)&gt;=E30,1,0))),0)</f>
        <v>0</v>
      </c>
      <c r="F31" s="21">
        <f>IF(SUM($D31:E31)=0,(IF($D$24+$D$25&gt;$E$30, IF((F24+F25)&lt;=F30,1,0),IF((F24+F25)&gt;=F30,1,0))),0)</f>
        <v>1</v>
      </c>
      <c r="G31" s="21">
        <f>IF(SUM($D31:F31)=0,(IF($D$24+$D$25&gt;$E$30, IF((G24+G25)&lt;=G30,1,0),IF((G24+G25)&gt;=G30,1,0))),0)</f>
        <v>0</v>
      </c>
      <c r="H31" s="21">
        <f>IF(SUM($D31:G31)=0,(IF($D$24+$D$25&gt;$E$30, IF((H24+H25)&lt;=H30,1,0),IF((H24+H25)&gt;=H30,1,0))),0)</f>
        <v>0</v>
      </c>
      <c r="I31" s="21">
        <f>IF(SUM($D31:H31)=0,(IF($D$24+$D$25&gt;$E$30, IF((I24+I25)&lt;=I30,1,0),IF((I24+I25)&gt;=I30,1,0))),0)</f>
        <v>0</v>
      </c>
      <c r="J31" s="21">
        <f>IF(SUM($D31:I31)=0,(IF($D$24+$D$25&gt;$E$30, IF((J24+J25)&lt;=J30,1,0),IF((J24+J25)&gt;=J30,1,0))),0)</f>
        <v>0</v>
      </c>
      <c r="K31" s="21">
        <f>IF(SUM($D31:J31)=0,(IF($D$24+$D$25&gt;$E$30, IF((K24+K25)&lt;=K30,1,0),IF((K24+K25)&gt;=K30,1,0))),0)</f>
        <v>0</v>
      </c>
      <c r="L31" s="21">
        <f>IF(SUM($D31:K31)=0,(IF($D$24+$D$25&gt;$E$30, IF((L24+L25)&lt;=L30,1,0),IF((L24+L25)&gt;=L30,1,0))),0)</f>
        <v>0</v>
      </c>
      <c r="M31" s="21">
        <f>IF(SUM($D31:L31)=0,(IF($D$24+$D$25&gt;$E$30, IF((M24+M25)&lt;=M30,1,0),IF((M24+M25)&gt;=M30,1,0))),0)</f>
        <v>0</v>
      </c>
      <c r="N31" s="21">
        <f>IF(SUM($D31:M31)=0,(IF($D$24+$D$25&gt;$E$30, IF((N24+N25)&lt;=N30,1,0),IF((N24+N25)&gt;=N30,1,0))),0)</f>
        <v>0</v>
      </c>
      <c r="O31" s="21">
        <f>IF(SUM($D31:N31)=0,(IF($D$24+$D$25&gt;$E$30, IF((O24+O25)&lt;=O30,1,0),IF((O24+O25)&gt;=O30,1,0))),0)</f>
        <v>0</v>
      </c>
      <c r="P31" s="21">
        <f>IF(SUM($D31:O31)=0,(IF($D$24+$D$25&gt;$E$30, IF((P24+P25)&lt;=P30,1,0),IF((P24+P25)&gt;=P30,1,0))),0)</f>
        <v>0</v>
      </c>
      <c r="Q31" s="21">
        <f>IF(SUM($D31:P31)=0,(IF($D$24+$D$25&gt;$E$30, IF((Q24+Q25)&lt;=Q30,1,0),IF((Q24+Q25)&gt;=Q30,1,0))),0)</f>
        <v>0</v>
      </c>
      <c r="R31" s="21">
        <f>IF(SUM($D31:Q31)=0,(IF($D$24+$D$25&gt;$E$30, IF((R24+R25)&lt;=R30,1,0),IF((R24+R25)&gt;=R30,1,0))),0)</f>
        <v>0</v>
      </c>
      <c r="S31" s="21">
        <f>IF(SUM($D31:R31)=0,(IF($D$24+$D$25&gt;$E$30, IF((S24+S25)&lt;=S30,1,0),IF((S24+S25)&gt;=S30,1,0))),0)</f>
        <v>0</v>
      </c>
      <c r="T31" s="21">
        <f>IF(SUM($D31:S31)=0,(IF($D$24+$D$25&gt;$E$30, IF((T24+T25)&lt;=T30,1,0),IF((T24+T25)&gt;=T30,1,0))),0)</f>
        <v>0</v>
      </c>
      <c r="U31" s="21">
        <f>IF(SUM($D31:T31)=0,(IF($D$24+$D$25&gt;$E$30, IF((U24+U25)&lt;=U30,1,0),IF((U24+U25)&gt;=U30,1,0))),0)</f>
        <v>0</v>
      </c>
      <c r="V31" s="21">
        <f>IF(SUM($D31:U31)=0,(IF($D$24+$D$25&gt;$E$30, IF((V24+V25)&lt;=V30,1,0),IF((V24+V25)&gt;=V30,1,0))),0)</f>
        <v>0</v>
      </c>
      <c r="W31" s="21">
        <f>IF(SUM($D31:V31)=0,(IF($D$24+$D$25&gt;$E$30, IF((W24+W25)&lt;=W30,1,0),IF((W24+W25)&gt;=W30,1,0))),0)</f>
        <v>0</v>
      </c>
      <c r="X31" s="21">
        <f>IF(SUM($D31:W31)=0,(IF($D$24+$D$25&gt;$E$30, IF((X24+X25)&lt;=X30,1,0),IF((X24+X25)&gt;=X30,1,0))),0)</f>
        <v>0</v>
      </c>
    </row>
    <row r="32" spans="1:24" ht="17" x14ac:dyDescent="0.25">
      <c r="A32" s="5" t="s">
        <v>52</v>
      </c>
      <c r="B32" s="54" t="s">
        <v>53</v>
      </c>
      <c r="C32" s="20" t="s">
        <v>54</v>
      </c>
      <c r="D32" s="10"/>
      <c r="E32" s="10">
        <f>IF(E31=1,E30-(D24+D25+SUM($D27:D27)-SUM($D29:D29)),IF(SUM($D31:D31)=1,0,((E24-D24)+(E25-D25)+E27-E29)))</f>
        <v>-5242.355935999999</v>
      </c>
      <c r="F32" s="10">
        <f>IF(F31=1,F30-(E24+E25+SUM($D27:E27)-SUM($D29:E29)),IF(SUM($D31:E31)=1,0,((F24-E24)+(F25-E25)+F27-F29)))</f>
        <v>-3241.261638095235</v>
      </c>
      <c r="G32" s="10">
        <f>IF(G31=1,G30-(F24+F25+SUM($D27:F27)-SUM($D29:F29)),IF(SUM($D31:F31)=1,0,((G24-F24)+(G25-F25)+G27-G29)))</f>
        <v>0</v>
      </c>
      <c r="H32" s="10">
        <f>IF(H31=1,H30-(G24+G25+SUM($D27:G27)-SUM($D29:G29)),IF(SUM($D31:G31)=1,0,((H24-G24)+(H25-G25)+H27-H29)))</f>
        <v>0</v>
      </c>
      <c r="I32" s="10">
        <f>IF(I31=1,I30-(H24+H25+SUM($D27:H27)-SUM($D29:H29)),IF(SUM($D31:H31)=1,0,((I24-H24)+(I25-H25)+I27-I29)))</f>
        <v>0</v>
      </c>
      <c r="J32" s="10">
        <f>IF(J31=1,J30-(I24+I25+SUM($D27:I27)-SUM($D29:I29)),IF(SUM($D31:I31)=1,0,((J24-I24)+(J25-I25)+J27-J29)))</f>
        <v>0</v>
      </c>
      <c r="K32" s="10">
        <f>IF(K31=1,K30-(J24+J25+SUM($D27:J27)-SUM($D29:J29)),IF(SUM($D31:J31)=1,0,((K24-J24)+(K25-J25)+K27-K29)))</f>
        <v>0</v>
      </c>
      <c r="L32" s="10">
        <f>IF(L31=1,L30-(K24+K25+SUM($D27:K27)-SUM($D29:K29)),IF(SUM($D31:K31)=1,0,((L24-K24)+(L25-K25)+L27-L29)))</f>
        <v>0</v>
      </c>
      <c r="M32" s="10">
        <f>IF(M31=1,M30-(L24+L25+SUM($D27:L27)-SUM($D29:L29)),IF(SUM($D31:L31)=1,0,((M24-L24)+(M25-L25)+M27-M29)))</f>
        <v>0</v>
      </c>
      <c r="N32" s="10">
        <f>IF(N31=1,N30-(M24+M25+SUM($D27:M27)-SUM($D29:M29)),IF(SUM($D31:M31)=1,0,((N24-M24)+(N25-M25)+N27-N29)))</f>
        <v>0</v>
      </c>
      <c r="O32" s="10">
        <f>IF(O31=1,O30-(N24+N25+SUM($D27:N27)-SUM($D29:N29)),IF(SUM($D31:N31)=1,0,((O24-N24)+(O25-N25)+O27-O29)))</f>
        <v>0</v>
      </c>
      <c r="P32" s="10">
        <f>IF(P31=1,P30-(O24+O25+SUM($D27:O27)-SUM($D29:O29)),IF(SUM($D31:O31)=1,0,((P24-O24)+(P25-O25)+P27-P29)))</f>
        <v>0</v>
      </c>
      <c r="Q32" s="10">
        <f>IF(Q31=1,Q30-(P24+P25+SUM($D27:P27)-SUM($D29:P29)),IF(SUM($D31:P31)=1,0,((Q24-P24)+(Q25-P25)+Q27-Q29)))</f>
        <v>0</v>
      </c>
      <c r="R32" s="10">
        <f>IF(R31=1,R30-(Q24+Q25+SUM($D27:Q27)-SUM($D29:Q29)),IF(SUM($D31:Q31)=1,0,((R24-Q24)+(R25-Q25)+R27-R29)))</f>
        <v>0</v>
      </c>
      <c r="S32" s="10">
        <f>IF(S31=1,S30-(R24+R25+SUM($D27:R27)-SUM($D29:R29)),IF(SUM($D31:R31)=1,0,((S24-R24)+(S25-R25)+S27-S29)))</f>
        <v>0</v>
      </c>
      <c r="T32" s="10">
        <f>IF(T31=1,T30-(S24+S25+SUM($D27:S27)-SUM($D29:S29)),IF(SUM($D31:S31)=1,0,((T24-S24)+(T25-S25)+T27-T29)))</f>
        <v>0</v>
      </c>
      <c r="U32" s="10">
        <f>IF(U31=1,U30-(T24+T25+SUM($D27:T27)-SUM($D29:T29)),IF(SUM($D31:T31)=1,0,((U24-T24)+(U25-T25)+U27-U29)))</f>
        <v>0</v>
      </c>
      <c r="V32" s="10">
        <f>IF(V31=1,V30-(U24+U25+SUM($D27:U27)-SUM($D29:U29)),IF(SUM($D31:U31)=1,0,((V24-U24)+(V25-U25)+V27-V29)))</f>
        <v>0</v>
      </c>
      <c r="W32" s="10">
        <f>IF(W31=1,W30-(V24+V25+SUM($D27:V27)-SUM($D29:V29)),IF(SUM($D31:V31)=1,0,((W24-V24)+(W25-V25)+W27-W29)))</f>
        <v>0</v>
      </c>
      <c r="X32" s="10">
        <f>IF(X31=1,X30-(W24+W25+SUM($D27:W27)-SUM($D29:W29)),IF(SUM($D31:W31)=1,0,((X24-W24)+(X25-W25)+X27-X29)))</f>
        <v>0</v>
      </c>
    </row>
    <row r="33" spans="1:26" x14ac:dyDescent="0.2">
      <c r="A33" s="5"/>
      <c r="B33" s="53"/>
      <c r="C33" s="30" t="s">
        <v>55</v>
      </c>
      <c r="D33" s="31"/>
      <c r="E33" s="31"/>
      <c r="F33" s="31"/>
      <c r="G33" s="31"/>
      <c r="H33" s="31"/>
      <c r="I33" s="33"/>
      <c r="J33" s="31"/>
      <c r="K33" s="31"/>
      <c r="L33" s="31"/>
      <c r="M33" s="31"/>
      <c r="N33" s="31"/>
      <c r="O33" s="31"/>
      <c r="P33" s="31"/>
      <c r="Q33" s="31"/>
      <c r="R33" s="31"/>
      <c r="S33" s="33"/>
      <c r="T33" s="31"/>
      <c r="U33" s="31"/>
      <c r="V33" s="31"/>
      <c r="W33" s="31"/>
      <c r="X33" s="31"/>
    </row>
    <row r="34" spans="1:26" ht="17" x14ac:dyDescent="0.25">
      <c r="A34" s="5">
        <v>14</v>
      </c>
      <c r="B34" s="54" t="s">
        <v>56</v>
      </c>
      <c r="C34" s="32" t="s">
        <v>57</v>
      </c>
      <c r="D34" s="34">
        <v>19425.062399999999</v>
      </c>
      <c r="E34" s="34">
        <v>20138.809600000001</v>
      </c>
      <c r="F34" s="34">
        <v>20826.542400000002</v>
      </c>
      <c r="G34" s="34">
        <v>21490.092799999999</v>
      </c>
      <c r="H34" s="34">
        <v>22296.905600000002</v>
      </c>
      <c r="I34" s="34">
        <v>22992.699199999999</v>
      </c>
      <c r="J34" s="34">
        <v>23599.457600000002</v>
      </c>
      <c r="K34" s="34">
        <v>24309.1744</v>
      </c>
      <c r="L34" s="34">
        <v>24918.131200000003</v>
      </c>
      <c r="M34" s="34">
        <v>25454.907200000001</v>
      </c>
      <c r="N34" s="34">
        <v>25996.446400000001</v>
      </c>
      <c r="O34" s="34">
        <v>26517.833600000002</v>
      </c>
      <c r="P34" s="34">
        <v>27001.848000000002</v>
      </c>
      <c r="Q34" s="34">
        <v>27478.900799999999</v>
      </c>
      <c r="R34" s="34">
        <v>27954.8544</v>
      </c>
      <c r="S34" s="34">
        <v>28371.817600000002</v>
      </c>
      <c r="T34" s="34">
        <v>28793.544000000002</v>
      </c>
      <c r="U34" s="34">
        <v>29192.920000000006</v>
      </c>
      <c r="V34" s="34">
        <v>29585.334400000003</v>
      </c>
      <c r="W34" s="34">
        <v>29944.772799999999</v>
      </c>
      <c r="X34" s="34">
        <v>30321.432000000001</v>
      </c>
      <c r="Z34" s="1"/>
    </row>
    <row r="35" spans="1:26" ht="17" x14ac:dyDescent="0.25">
      <c r="A35" s="5">
        <v>15</v>
      </c>
      <c r="B35" s="54" t="s">
        <v>58</v>
      </c>
      <c r="C35" s="32" t="s">
        <v>59</v>
      </c>
      <c r="D35" s="34">
        <v>1514.6976000000002</v>
      </c>
      <c r="E35" s="34">
        <v>1610.328</v>
      </c>
      <c r="F35" s="34">
        <v>1707.424</v>
      </c>
      <c r="G35" s="34">
        <v>1793.8944000000001</v>
      </c>
      <c r="H35" s="34">
        <v>1864.6096</v>
      </c>
      <c r="I35" s="34">
        <v>1959.8735999999999</v>
      </c>
      <c r="J35" s="34">
        <v>2055.5039999999999</v>
      </c>
      <c r="K35" s="34">
        <v>2149.3024</v>
      </c>
      <c r="L35" s="34">
        <v>2250.7952000000005</v>
      </c>
      <c r="M35" s="34">
        <v>2339.0976000000001</v>
      </c>
      <c r="N35" s="34">
        <v>2413.1103999999996</v>
      </c>
      <c r="O35" s="34">
        <v>2505.4431999999997</v>
      </c>
      <c r="P35" s="34">
        <v>2601.6103900676126</v>
      </c>
      <c r="Q35" s="34">
        <v>2674.5028609493315</v>
      </c>
      <c r="R35" s="34">
        <v>2758.3873318310493</v>
      </c>
      <c r="S35" s="34">
        <v>2846.302202712769</v>
      </c>
      <c r="T35" s="34">
        <v>2904.1722735944877</v>
      </c>
      <c r="U35" s="34">
        <v>2982.6408155370573</v>
      </c>
      <c r="V35" s="34">
        <v>3060.7904302123229</v>
      </c>
      <c r="W35" s="34">
        <v>3127.5816448875889</v>
      </c>
      <c r="X35" s="34">
        <v>3191.4416595628545</v>
      </c>
      <c r="Z35" s="1"/>
    </row>
    <row r="36" spans="1:26" ht="17" x14ac:dyDescent="0.25">
      <c r="A36" s="5">
        <v>17</v>
      </c>
      <c r="B36" s="54" t="s">
        <v>60</v>
      </c>
      <c r="C36" s="32" t="s">
        <v>61</v>
      </c>
      <c r="D36" s="34"/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Z36" s="1"/>
    </row>
    <row r="37" spans="1:26" ht="16" x14ac:dyDescent="0.25">
      <c r="A37" s="5">
        <v>16</v>
      </c>
      <c r="B37" s="55" t="s">
        <v>62</v>
      </c>
      <c r="C37" s="32" t="s">
        <v>63</v>
      </c>
      <c r="D37" s="34"/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</row>
    <row r="38" spans="1:26" ht="17" x14ac:dyDescent="0.25">
      <c r="A38" s="5">
        <v>17</v>
      </c>
      <c r="B38" s="56" t="s">
        <v>64</v>
      </c>
      <c r="C38" s="35" t="s">
        <v>65</v>
      </c>
      <c r="D38" s="36"/>
      <c r="E38" s="36">
        <f>(E34-D34)+(E35-D35)+E36-E37</f>
        <v>809.37760000000139</v>
      </c>
      <c r="F38" s="36">
        <f t="shared" ref="F38:X38" si="5">(F34-E34)+(F35-E35)+F36-F37</f>
        <v>784.82880000000159</v>
      </c>
      <c r="G38" s="36">
        <f t="shared" si="5"/>
        <v>750.0207999999966</v>
      </c>
      <c r="H38" s="36">
        <f t="shared" si="5"/>
        <v>877.5280000000032</v>
      </c>
      <c r="I38" s="36">
        <f t="shared" si="5"/>
        <v>791.05759999999714</v>
      </c>
      <c r="J38" s="36">
        <f t="shared" si="5"/>
        <v>702.38880000000245</v>
      </c>
      <c r="K38" s="36">
        <f t="shared" si="5"/>
        <v>803.51519999999846</v>
      </c>
      <c r="L38" s="36">
        <f t="shared" si="5"/>
        <v>710.44960000000401</v>
      </c>
      <c r="M38" s="36">
        <f t="shared" si="5"/>
        <v>625.0783999999976</v>
      </c>
      <c r="N38" s="36">
        <f t="shared" si="5"/>
        <v>615.55199999999877</v>
      </c>
      <c r="O38" s="36">
        <f t="shared" si="5"/>
        <v>613.72000000000116</v>
      </c>
      <c r="P38" s="36">
        <f t="shared" si="5"/>
        <v>580.18159006761289</v>
      </c>
      <c r="Q38" s="36">
        <f t="shared" si="5"/>
        <v>549.94527088171662</v>
      </c>
      <c r="R38" s="36">
        <f t="shared" si="5"/>
        <v>559.83807088171852</v>
      </c>
      <c r="S38" s="36">
        <f t="shared" si="5"/>
        <v>504.87807088172167</v>
      </c>
      <c r="T38" s="36">
        <f t="shared" si="5"/>
        <v>479.59647088171823</v>
      </c>
      <c r="U38" s="36">
        <f t="shared" si="5"/>
        <v>477.84454194257341</v>
      </c>
      <c r="V38" s="36">
        <f t="shared" si="5"/>
        <v>470.56401467526348</v>
      </c>
      <c r="W38" s="36">
        <f t="shared" si="5"/>
        <v>426.22961467526147</v>
      </c>
      <c r="X38" s="36">
        <f t="shared" si="5"/>
        <v>440.51921467526745</v>
      </c>
      <c r="Z38" s="1"/>
    </row>
    <row r="39" spans="1:26" x14ac:dyDescent="0.2">
      <c r="A39" s="5"/>
      <c r="B39" s="56"/>
      <c r="C39" s="25" t="s">
        <v>66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6" ht="17" x14ac:dyDescent="0.25">
      <c r="A40" s="5">
        <v>13</v>
      </c>
      <c r="B40" s="56" t="s">
        <v>67</v>
      </c>
      <c r="C40" s="27" t="s">
        <v>68</v>
      </c>
      <c r="D40" s="28">
        <f>SQRT((($D$24*($E$13^2))+($D$25*($E$14^2))+($E$27*($E$13^2))+($E$29*($E$13^2)))/SUM($D$24:$D$25, $E$27, $E$29))</f>
        <v>0.10087730987989015</v>
      </c>
      <c r="E40" s="28">
        <f>SQRT((($D$24*($E$13^2))+($D$25*($E$14^2))+($E$27*($E$13^2))+($E$29*($E$13^2)))/SUM($D$24:$D$25, $E$27, $E$29))</f>
        <v>0.10087730987989015</v>
      </c>
      <c r="F40" s="28">
        <f t="shared" ref="F40:X40" si="6">SQRT((($D$24*($E$13^2))+($D$25*($E$14^2))+($E$27*($E$13^2))+($E$29*($E$13^2)))/SUM($D$24:$D$25, $E$27, $E$29))</f>
        <v>0.10087730987989015</v>
      </c>
      <c r="G40" s="28">
        <f t="shared" si="6"/>
        <v>0.10087730987989015</v>
      </c>
      <c r="H40" s="28">
        <f t="shared" si="6"/>
        <v>0.10087730987989015</v>
      </c>
      <c r="I40" s="28">
        <f t="shared" si="6"/>
        <v>0.10087730987989015</v>
      </c>
      <c r="J40" s="28">
        <f t="shared" si="6"/>
        <v>0.10087730987989015</v>
      </c>
      <c r="K40" s="28">
        <f t="shared" si="6"/>
        <v>0.10087730987989015</v>
      </c>
      <c r="L40" s="28">
        <f t="shared" si="6"/>
        <v>0.10087730987989015</v>
      </c>
      <c r="M40" s="28">
        <f t="shared" si="6"/>
        <v>0.10087730987989015</v>
      </c>
      <c r="N40" s="28">
        <f t="shared" si="6"/>
        <v>0.10087730987989015</v>
      </c>
      <c r="O40" s="28">
        <f t="shared" si="6"/>
        <v>0.10087730987989015</v>
      </c>
      <c r="P40" s="28">
        <f t="shared" si="6"/>
        <v>0.10087730987989015</v>
      </c>
      <c r="Q40" s="28">
        <f t="shared" si="6"/>
        <v>0.10087730987989015</v>
      </c>
      <c r="R40" s="28">
        <f t="shared" si="6"/>
        <v>0.10087730987989015</v>
      </c>
      <c r="S40" s="28">
        <f t="shared" si="6"/>
        <v>0.10087730987989015</v>
      </c>
      <c r="T40" s="28">
        <f t="shared" si="6"/>
        <v>0.10087730987989015</v>
      </c>
      <c r="U40" s="28">
        <f t="shared" si="6"/>
        <v>0.10087730987989015</v>
      </c>
      <c r="V40" s="28">
        <f t="shared" si="6"/>
        <v>0.10087730987989015</v>
      </c>
      <c r="W40" s="28">
        <f t="shared" si="6"/>
        <v>0.10087730987989015</v>
      </c>
      <c r="X40" s="28">
        <f t="shared" si="6"/>
        <v>0.10087730987989015</v>
      </c>
    </row>
    <row r="41" spans="1:26" ht="17" x14ac:dyDescent="0.25">
      <c r="A41" s="5">
        <v>21</v>
      </c>
      <c r="B41" s="56" t="s">
        <v>69</v>
      </c>
      <c r="C41" s="27" t="s">
        <v>70</v>
      </c>
      <c r="D41" s="28">
        <f>SQRT(((D$34*($E$13^2))+(D$35*($E$14^2))+(D$36*($E$13^2))+(D$37*($E$13^2)))/SUM(D$34:D$37))</f>
        <v>0.10107765783488372</v>
      </c>
      <c r="E41" s="28">
        <f>SQRT(((E$34*($E$13^2))+(E$35*($E$14^2))+(E$36*($E$13^2))+(E$37*($E$13^2)))/SUM(E$34:E$37))</f>
        <v>0.10169569237653178</v>
      </c>
      <c r="F41" s="28">
        <f t="shared" ref="F41:N41" si="7">SQRT(((F$34*($E$13^2))+(F$35*($E$14^2))+(F$36*($E$13^2))+(F$37*($E$13^2)))/SUM(F$34:F$37))</f>
        <v>0.10231899988246254</v>
      </c>
      <c r="G41" s="28">
        <f t="shared" si="7"/>
        <v>0.10277520675390717</v>
      </c>
      <c r="H41" s="28">
        <f t="shared" si="7"/>
        <v>0.10282117567743661</v>
      </c>
      <c r="I41" s="28">
        <f t="shared" si="7"/>
        <v>0.10331011681112871</v>
      </c>
      <c r="J41" s="28">
        <f t="shared" si="7"/>
        <v>0.10386963744933267</v>
      </c>
      <c r="K41" s="28">
        <f t="shared" si="7"/>
        <v>0.10426230455176938</v>
      </c>
      <c r="L41" s="28">
        <f t="shared" si="7"/>
        <v>0.10482875680184163</v>
      </c>
      <c r="M41" s="28">
        <f t="shared" si="7"/>
        <v>0.10528836007689216</v>
      </c>
      <c r="N41" s="28">
        <f t="shared" si="7"/>
        <v>0.10556086795819433</v>
      </c>
      <c r="O41" s="28">
        <f>SQRT(((O$34*($S$13^2))+(O$35*($S$14^2))+(O$36*($S$13^2))+(O$37*($S$13^2)))/SUM(O$34:O$37))</f>
        <v>8.2769531435427965E-2</v>
      </c>
      <c r="P41" s="28">
        <f>SQRT(((P$34*($S$13^2))+(P$35*($S$14^2))+(P$36*($S$13^2))+(P$37*($S$13^2)))/SUM(P$34:P$37))</f>
        <v>8.3242125993157154E-2</v>
      </c>
      <c r="Q41" s="28">
        <f t="shared" ref="Q41:X41" si="8">SQRT(((Q$34*($S$13^2))+(Q$35*($S$14^2))+(Q$36*($S$13^2))+(Q$37*($S$13^2)))/SUM(Q$34:Q$37))</f>
        <v>8.348835904308273E-2</v>
      </c>
      <c r="R41" s="28">
        <f t="shared" si="8"/>
        <v>8.3824071849112725E-2</v>
      </c>
      <c r="S41" s="28">
        <f>SQRT(((S$34*($S$13^2))+(S$35*($S$14^2))+(S$36*($S$13^2))+(S$37*($S$13^2)))/SUM(S$34:S$37))</f>
        <v>8.4233034285394415E-2</v>
      </c>
      <c r="T41" s="28">
        <f t="shared" si="8"/>
        <v>8.4366413573376806E-2</v>
      </c>
      <c r="U41" s="28">
        <f t="shared" si="8"/>
        <v>8.4687822358762099E-2</v>
      </c>
      <c r="V41" s="28">
        <f t="shared" si="8"/>
        <v>8.5001963611865211E-2</v>
      </c>
      <c r="W41" s="28">
        <f>SQRT(((W$34*($S$13^2))+(W$35*($S$14^2))+(W$36*($S$13^2))+(W$37*($S$13^2)))/SUM(W$34:W$37))</f>
        <v>8.5242125328127444E-2</v>
      </c>
      <c r="X41" s="28">
        <f t="shared" si="8"/>
        <v>8.5437743961169557E-2</v>
      </c>
    </row>
    <row r="42" spans="1:26" ht="17" x14ac:dyDescent="0.25">
      <c r="A42" s="5">
        <v>22</v>
      </c>
      <c r="B42" s="56" t="s">
        <v>71</v>
      </c>
      <c r="C42" s="27" t="s">
        <v>72</v>
      </c>
      <c r="D42" s="29"/>
      <c r="E42" s="28">
        <f>SQRT(((ABS(E$32)*(E$40^2))+(ABS(E$38)*(E$41^2)))/(ABS(E$32)+ABS(E$38)))</f>
        <v>0.1009871470721521</v>
      </c>
      <c r="F42" s="28">
        <f t="shared" ref="F42:X42" si="9">SQRT(((ABS(F$32)*(F$40^2))+(ABS(F$38)*(F$41^2)))/(ABS(F$32)+ABS(F$38)))</f>
        <v>0.10115995898806285</v>
      </c>
      <c r="G42" s="28">
        <f t="shared" si="9"/>
        <v>0.10277520675390717</v>
      </c>
      <c r="H42" s="28">
        <f t="shared" si="9"/>
        <v>0.10282117567743661</v>
      </c>
      <c r="I42" s="28">
        <f t="shared" si="9"/>
        <v>0.10331011681112871</v>
      </c>
      <c r="J42" s="28">
        <f t="shared" si="9"/>
        <v>0.10386963744933267</v>
      </c>
      <c r="K42" s="28">
        <f t="shared" si="9"/>
        <v>0.10426230455176938</v>
      </c>
      <c r="L42" s="28">
        <f t="shared" si="9"/>
        <v>0.10482875680184163</v>
      </c>
      <c r="M42" s="28">
        <f t="shared" si="9"/>
        <v>0.10528836007689216</v>
      </c>
      <c r="N42" s="28">
        <f t="shared" si="9"/>
        <v>0.10556086795819433</v>
      </c>
      <c r="O42" s="28">
        <f t="shared" si="9"/>
        <v>8.2769531435427965E-2</v>
      </c>
      <c r="P42" s="28">
        <f t="shared" si="9"/>
        <v>8.3242125993157154E-2</v>
      </c>
      <c r="Q42" s="28">
        <f t="shared" si="9"/>
        <v>8.348835904308273E-2</v>
      </c>
      <c r="R42" s="28">
        <f t="shared" si="9"/>
        <v>8.3824071849112725E-2</v>
      </c>
      <c r="S42" s="28">
        <f t="shared" si="9"/>
        <v>8.4233034285394415E-2</v>
      </c>
      <c r="T42" s="28">
        <f t="shared" si="9"/>
        <v>8.4366413573376806E-2</v>
      </c>
      <c r="U42" s="28">
        <f t="shared" si="9"/>
        <v>8.4687822358762099E-2</v>
      </c>
      <c r="V42" s="28">
        <f t="shared" si="9"/>
        <v>8.5001963611865211E-2</v>
      </c>
      <c r="W42" s="28">
        <f t="shared" si="9"/>
        <v>8.5242125328127444E-2</v>
      </c>
      <c r="X42" s="28">
        <f t="shared" si="9"/>
        <v>8.5437743961169557E-2</v>
      </c>
    </row>
    <row r="43" spans="1:26" ht="17" x14ac:dyDescent="0.25">
      <c r="A43" s="5">
        <v>23</v>
      </c>
      <c r="B43" s="56" t="s">
        <v>73</v>
      </c>
      <c r="C43" s="27" t="s">
        <v>74</v>
      </c>
      <c r="D43" s="29"/>
      <c r="E43" s="28">
        <f>IF(E42&lt;=10%,0%,E42-10%)</f>
        <v>9.8714707215209752E-4</v>
      </c>
      <c r="F43" s="28">
        <f t="shared" ref="F43:K43" si="10">IF(F42&lt;=10%,0%,F42-10%)</f>
        <v>1.1599589880628425E-3</v>
      </c>
      <c r="G43" s="28">
        <f t="shared" si="10"/>
        <v>2.7752067539071612E-3</v>
      </c>
      <c r="H43" s="28">
        <f t="shared" si="10"/>
        <v>2.821175677436602E-3</v>
      </c>
      <c r="I43" s="28">
        <f t="shared" si="10"/>
        <v>3.3101168111287077E-3</v>
      </c>
      <c r="J43" s="28">
        <f t="shared" si="10"/>
        <v>3.8696374493326635E-3</v>
      </c>
      <c r="K43" s="28">
        <f t="shared" si="10"/>
        <v>4.2623045517693747E-3</v>
      </c>
      <c r="L43" s="28">
        <f t="shared" ref="L43" si="11">IF(L42&lt;=10%,0%,L42-10%)</f>
        <v>4.8287568018416244E-3</v>
      </c>
      <c r="M43" s="28">
        <f t="shared" ref="M43" si="12">IF(M42&lt;=10%,0%,M42-10%)</f>
        <v>5.2883600768921513E-3</v>
      </c>
      <c r="N43" s="28">
        <f t="shared" ref="N43" si="13">IF(N42&lt;=10%,0%,N42-10%)</f>
        <v>5.5608679581943266E-3</v>
      </c>
      <c r="O43" s="28">
        <f t="shared" ref="O43" si="14">IF(O42&lt;=10%,0%,O42-10%)</f>
        <v>0</v>
      </c>
      <c r="P43" s="28">
        <f t="shared" ref="P43" si="15">IF(P42&lt;=10%,0%,P42-10%)</f>
        <v>0</v>
      </c>
      <c r="Q43" s="28">
        <f t="shared" ref="Q43" si="16">IF(Q42&lt;=10%,0%,Q42-10%)</f>
        <v>0</v>
      </c>
      <c r="R43" s="28">
        <f t="shared" ref="R43" si="17">IF(R42&lt;=10%,0%,R42-10%)</f>
        <v>0</v>
      </c>
      <c r="S43" s="28">
        <f t="shared" ref="S43" si="18">IF(S42&lt;=10%,0%,S42-10%)</f>
        <v>0</v>
      </c>
      <c r="T43" s="28">
        <f t="shared" ref="T43" si="19">IF(T42&lt;=10%,0%,T42-10%)</f>
        <v>0</v>
      </c>
      <c r="U43" s="28">
        <f t="shared" ref="U43" si="20">IF(U42&lt;=10%,0%,U42-10%)</f>
        <v>0</v>
      </c>
      <c r="V43" s="28">
        <f t="shared" ref="V43" si="21">IF(V42&lt;=10%,0%,V42-10%)</f>
        <v>0</v>
      </c>
      <c r="W43" s="28">
        <f t="shared" ref="W43" si="22">IF(W42&lt;=10%,0%,W42-10%)</f>
        <v>0</v>
      </c>
      <c r="X43" s="28">
        <f t="shared" ref="X43" si="23">IF(X42&lt;=10%,0%,X42-10%)</f>
        <v>0</v>
      </c>
    </row>
    <row r="44" spans="1:26" x14ac:dyDescent="0.2">
      <c r="A44" s="3"/>
      <c r="B44" s="53"/>
      <c r="C44" s="22" t="s">
        <v>75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7" x14ac:dyDescent="0.25">
      <c r="A45" s="5">
        <v>24</v>
      </c>
      <c r="B45" s="53" t="s">
        <v>76</v>
      </c>
      <c r="C45" s="24" t="s">
        <v>77</v>
      </c>
      <c r="D45" s="37"/>
      <c r="E45" s="39">
        <f>ROUNDDOWN((E$38-E$32)*(1-$E$15)*(1-E43),0)</f>
        <v>3627</v>
      </c>
      <c r="F45" s="39">
        <f>ROUNDDOWN((F$38-F$32)*(1-$E$15)*(1-F43),0)</f>
        <v>2412</v>
      </c>
      <c r="G45" s="39">
        <f t="shared" ref="G45:X45" si="24">ROUNDDOWN((G$38-G$32)*(1-$E$15)*(1-G43),0)</f>
        <v>448</v>
      </c>
      <c r="H45" s="39">
        <f t="shared" si="24"/>
        <v>525</v>
      </c>
      <c r="I45" s="39">
        <f t="shared" si="24"/>
        <v>473</v>
      </c>
      <c r="J45" s="39">
        <f t="shared" si="24"/>
        <v>419</v>
      </c>
      <c r="K45" s="39">
        <f t="shared" si="24"/>
        <v>480</v>
      </c>
      <c r="L45" s="39">
        <f t="shared" si="24"/>
        <v>424</v>
      </c>
      <c r="M45" s="39">
        <f t="shared" si="24"/>
        <v>373</v>
      </c>
      <c r="N45" s="39">
        <f t="shared" si="24"/>
        <v>367</v>
      </c>
      <c r="O45" s="39">
        <f t="shared" si="24"/>
        <v>368</v>
      </c>
      <c r="P45" s="39">
        <f t="shared" si="24"/>
        <v>348</v>
      </c>
      <c r="Q45" s="39">
        <f t="shared" si="24"/>
        <v>329</v>
      </c>
      <c r="R45" s="39">
        <f t="shared" si="24"/>
        <v>335</v>
      </c>
      <c r="S45" s="39">
        <f t="shared" si="24"/>
        <v>302</v>
      </c>
      <c r="T45" s="39">
        <f t="shared" si="24"/>
        <v>287</v>
      </c>
      <c r="U45" s="39">
        <f t="shared" si="24"/>
        <v>286</v>
      </c>
      <c r="V45" s="39">
        <f t="shared" si="24"/>
        <v>282</v>
      </c>
      <c r="W45" s="39">
        <f t="shared" si="24"/>
        <v>255</v>
      </c>
      <c r="X45" s="39">
        <f t="shared" si="24"/>
        <v>264</v>
      </c>
    </row>
    <row r="46" spans="1:26" ht="17" x14ac:dyDescent="0.25">
      <c r="A46" s="5">
        <v>24</v>
      </c>
      <c r="B46" s="53" t="s">
        <v>78</v>
      </c>
      <c r="C46" s="24" t="s">
        <v>79</v>
      </c>
      <c r="D46" s="37"/>
      <c r="E46" s="39">
        <f>IF(E45&lt;0,0,IF(E45+D59&lt;0,0,E45+D59))</f>
        <v>3627</v>
      </c>
      <c r="F46" s="39">
        <f>IF(F45&lt;0,0,IF(F45+E59&lt;0,0,F45+E59))</f>
        <v>2412</v>
      </c>
      <c r="G46" s="39">
        <f>IF(G45&lt;0,0,IF(G45+F59&lt;0,0,G45+F59))</f>
        <v>448</v>
      </c>
      <c r="H46" s="39">
        <f>IF(H45&lt;0,0,IF(H45+G59&lt;0,0,H45+G59))</f>
        <v>525</v>
      </c>
      <c r="I46" s="39">
        <f>IF(I45&lt;0,0,IF(I45+H59&lt;0,0,I45+H59))</f>
        <v>473</v>
      </c>
      <c r="J46" s="39">
        <f t="shared" ref="J46:X46" si="25">IF(J45&lt;0,0,IF(J45+I59&lt;0,0,J45+I59))</f>
        <v>419</v>
      </c>
      <c r="K46" s="39">
        <f t="shared" si="25"/>
        <v>480</v>
      </c>
      <c r="L46" s="39">
        <f t="shared" si="25"/>
        <v>424</v>
      </c>
      <c r="M46" s="39">
        <f t="shared" si="25"/>
        <v>373</v>
      </c>
      <c r="N46" s="39">
        <f t="shared" si="25"/>
        <v>367</v>
      </c>
      <c r="O46" s="39">
        <f t="shared" si="25"/>
        <v>368</v>
      </c>
      <c r="P46" s="39">
        <f t="shared" si="25"/>
        <v>348</v>
      </c>
      <c r="Q46" s="39">
        <f t="shared" si="25"/>
        <v>329</v>
      </c>
      <c r="R46" s="39">
        <f t="shared" si="25"/>
        <v>335</v>
      </c>
      <c r="S46" s="39">
        <f t="shared" si="25"/>
        <v>302</v>
      </c>
      <c r="T46" s="39">
        <f t="shared" si="25"/>
        <v>287</v>
      </c>
      <c r="U46" s="39">
        <f t="shared" si="25"/>
        <v>286</v>
      </c>
      <c r="V46" s="39">
        <f t="shared" si="25"/>
        <v>282</v>
      </c>
      <c r="W46" s="39">
        <f t="shared" si="25"/>
        <v>255</v>
      </c>
      <c r="X46" s="39">
        <f t="shared" si="25"/>
        <v>264</v>
      </c>
    </row>
    <row r="47" spans="1:26" ht="17" x14ac:dyDescent="0.25">
      <c r="A47" s="5">
        <v>24</v>
      </c>
      <c r="B47" s="53" t="s">
        <v>80</v>
      </c>
      <c r="C47" s="24" t="s">
        <v>81</v>
      </c>
      <c r="D47" s="37"/>
      <c r="E47" s="39">
        <f>ROUNDUP(E46*$E$16,0)</f>
        <v>545</v>
      </c>
      <c r="F47" s="39">
        <f t="shared" ref="F47:X47" si="26">ROUNDUP(F46*$E$16,0)</f>
        <v>362</v>
      </c>
      <c r="G47" s="39">
        <f t="shared" si="26"/>
        <v>68</v>
      </c>
      <c r="H47" s="39">
        <f t="shared" si="26"/>
        <v>79</v>
      </c>
      <c r="I47" s="39">
        <f t="shared" si="26"/>
        <v>71</v>
      </c>
      <c r="J47" s="39">
        <f t="shared" si="26"/>
        <v>63</v>
      </c>
      <c r="K47" s="39">
        <f t="shared" si="26"/>
        <v>72</v>
      </c>
      <c r="L47" s="39">
        <f t="shared" si="26"/>
        <v>64</v>
      </c>
      <c r="M47" s="39">
        <f t="shared" si="26"/>
        <v>56</v>
      </c>
      <c r="N47" s="39">
        <f t="shared" si="26"/>
        <v>56</v>
      </c>
      <c r="O47" s="39">
        <f t="shared" si="26"/>
        <v>56</v>
      </c>
      <c r="P47" s="39">
        <f t="shared" si="26"/>
        <v>53</v>
      </c>
      <c r="Q47" s="39">
        <f t="shared" si="26"/>
        <v>50</v>
      </c>
      <c r="R47" s="39">
        <f t="shared" si="26"/>
        <v>51</v>
      </c>
      <c r="S47" s="39">
        <f t="shared" si="26"/>
        <v>46</v>
      </c>
      <c r="T47" s="39">
        <f t="shared" si="26"/>
        <v>44</v>
      </c>
      <c r="U47" s="39">
        <f t="shared" si="26"/>
        <v>43</v>
      </c>
      <c r="V47" s="39">
        <f t="shared" si="26"/>
        <v>43</v>
      </c>
      <c r="W47" s="39">
        <f t="shared" si="26"/>
        <v>39</v>
      </c>
      <c r="X47" s="39">
        <f t="shared" si="26"/>
        <v>40</v>
      </c>
    </row>
    <row r="48" spans="1:26" ht="17" x14ac:dyDescent="0.25">
      <c r="A48" s="5">
        <v>24</v>
      </c>
      <c r="B48" s="53" t="s">
        <v>82</v>
      </c>
      <c r="C48" s="24" t="s">
        <v>83</v>
      </c>
      <c r="D48" s="24"/>
      <c r="E48" s="39">
        <f>E46-E47</f>
        <v>3082</v>
      </c>
      <c r="F48" s="39">
        <f t="shared" ref="F48:X48" si="27">F46-F47</f>
        <v>2050</v>
      </c>
      <c r="G48" s="39">
        <f t="shared" si="27"/>
        <v>380</v>
      </c>
      <c r="H48" s="39">
        <f t="shared" si="27"/>
        <v>446</v>
      </c>
      <c r="I48" s="39">
        <f t="shared" si="27"/>
        <v>402</v>
      </c>
      <c r="J48" s="39">
        <f t="shared" si="27"/>
        <v>356</v>
      </c>
      <c r="K48" s="39">
        <f t="shared" si="27"/>
        <v>408</v>
      </c>
      <c r="L48" s="39">
        <f t="shared" si="27"/>
        <v>360</v>
      </c>
      <c r="M48" s="39">
        <f t="shared" si="27"/>
        <v>317</v>
      </c>
      <c r="N48" s="39">
        <f t="shared" si="27"/>
        <v>311</v>
      </c>
      <c r="O48" s="39">
        <f t="shared" si="27"/>
        <v>312</v>
      </c>
      <c r="P48" s="39">
        <f t="shared" si="27"/>
        <v>295</v>
      </c>
      <c r="Q48" s="39">
        <f t="shared" si="27"/>
        <v>279</v>
      </c>
      <c r="R48" s="39">
        <f t="shared" si="27"/>
        <v>284</v>
      </c>
      <c r="S48" s="39">
        <f t="shared" si="27"/>
        <v>256</v>
      </c>
      <c r="T48" s="39">
        <f t="shared" si="27"/>
        <v>243</v>
      </c>
      <c r="U48" s="39">
        <f t="shared" si="27"/>
        <v>243</v>
      </c>
      <c r="V48" s="39">
        <f t="shared" si="27"/>
        <v>239</v>
      </c>
      <c r="W48" s="39">
        <f t="shared" si="27"/>
        <v>216</v>
      </c>
      <c r="X48" s="39">
        <f t="shared" si="27"/>
        <v>224</v>
      </c>
    </row>
    <row r="49" spans="1:24" ht="17" x14ac:dyDescent="0.25">
      <c r="A49" s="5">
        <v>25</v>
      </c>
      <c r="B49" s="53" t="s">
        <v>84</v>
      </c>
      <c r="C49" s="24" t="s">
        <v>85</v>
      </c>
      <c r="D49" s="24"/>
      <c r="E49" s="39">
        <f>ROUND(E$46*((DATE(YEAR(E$22),1,1)-DATE(YEAR(D$22),MONTH($E$17),DAY($E$17)))/(365+IF(MOD(YEAR(D$22),4),0,1))),0)</f>
        <v>1070</v>
      </c>
      <c r="F49" s="39">
        <f t="shared" ref="F49:X49" si="28">ROUND(F$46*((DATE(YEAR(F$22),1,1)-DATE(YEAR(E$22),MONTH($E$17),DAY($E$17)))/(365+IF(MOD(YEAR(E$22),4),0,1))),0)</f>
        <v>714</v>
      </c>
      <c r="G49" s="39">
        <f t="shared" si="28"/>
        <v>133</v>
      </c>
      <c r="H49" s="39">
        <f t="shared" si="28"/>
        <v>155</v>
      </c>
      <c r="I49" s="39">
        <f t="shared" si="28"/>
        <v>140</v>
      </c>
      <c r="J49" s="39">
        <f t="shared" si="28"/>
        <v>124</v>
      </c>
      <c r="K49" s="39">
        <f t="shared" si="28"/>
        <v>142</v>
      </c>
      <c r="L49" s="39">
        <f t="shared" si="28"/>
        <v>125</v>
      </c>
      <c r="M49" s="39">
        <f t="shared" si="28"/>
        <v>110</v>
      </c>
      <c r="N49" s="39">
        <f t="shared" si="28"/>
        <v>109</v>
      </c>
      <c r="O49" s="39">
        <f t="shared" si="28"/>
        <v>109</v>
      </c>
      <c r="P49" s="39">
        <f t="shared" si="28"/>
        <v>103</v>
      </c>
      <c r="Q49" s="39">
        <f t="shared" si="28"/>
        <v>97</v>
      </c>
      <c r="R49" s="39">
        <f t="shared" si="28"/>
        <v>99</v>
      </c>
      <c r="S49" s="39">
        <f t="shared" si="28"/>
        <v>89</v>
      </c>
      <c r="T49" s="39">
        <f t="shared" si="28"/>
        <v>85</v>
      </c>
      <c r="U49" s="39">
        <f t="shared" si="28"/>
        <v>84</v>
      </c>
      <c r="V49" s="39">
        <f t="shared" si="28"/>
        <v>83</v>
      </c>
      <c r="W49" s="39">
        <f t="shared" si="28"/>
        <v>75</v>
      </c>
      <c r="X49" s="39">
        <f t="shared" si="28"/>
        <v>78</v>
      </c>
    </row>
    <row r="50" spans="1:24" ht="17" x14ac:dyDescent="0.25">
      <c r="A50" s="5">
        <v>25</v>
      </c>
      <c r="B50" s="53" t="s">
        <v>84</v>
      </c>
      <c r="C50" s="24" t="s">
        <v>86</v>
      </c>
      <c r="D50" s="24"/>
      <c r="E50" s="39">
        <f t="shared" ref="E50:X50" si="29">ROUND(E$46*((DATE(YEAR(D$22),MONTH($E$17),DAY($E$17))-(DATE(YEAR(D$22),1,1)))/(365+IF(MOD(YEAR(D$22),4),0,1))),0)</f>
        <v>2557</v>
      </c>
      <c r="F50" s="39">
        <f t="shared" si="29"/>
        <v>1698</v>
      </c>
      <c r="G50" s="39">
        <f t="shared" si="29"/>
        <v>315</v>
      </c>
      <c r="H50" s="39">
        <f t="shared" si="29"/>
        <v>370</v>
      </c>
      <c r="I50" s="39">
        <f t="shared" si="29"/>
        <v>333</v>
      </c>
      <c r="J50" s="39">
        <f t="shared" si="29"/>
        <v>295</v>
      </c>
      <c r="K50" s="39">
        <f t="shared" si="29"/>
        <v>338</v>
      </c>
      <c r="L50" s="39">
        <f t="shared" si="29"/>
        <v>299</v>
      </c>
      <c r="M50" s="39">
        <f t="shared" si="29"/>
        <v>263</v>
      </c>
      <c r="N50" s="39">
        <f t="shared" si="29"/>
        <v>258</v>
      </c>
      <c r="O50" s="39">
        <f t="shared" si="29"/>
        <v>259</v>
      </c>
      <c r="P50" s="39">
        <f t="shared" si="29"/>
        <v>245</v>
      </c>
      <c r="Q50" s="39">
        <f t="shared" si="29"/>
        <v>232</v>
      </c>
      <c r="R50" s="39">
        <f t="shared" si="29"/>
        <v>236</v>
      </c>
      <c r="S50" s="39">
        <f t="shared" si="29"/>
        <v>213</v>
      </c>
      <c r="T50" s="39">
        <f t="shared" si="29"/>
        <v>202</v>
      </c>
      <c r="U50" s="39">
        <f t="shared" si="29"/>
        <v>202</v>
      </c>
      <c r="V50" s="39">
        <f t="shared" si="29"/>
        <v>199</v>
      </c>
      <c r="W50" s="39">
        <f t="shared" si="29"/>
        <v>180</v>
      </c>
      <c r="X50" s="39">
        <f t="shared" si="29"/>
        <v>186</v>
      </c>
    </row>
    <row r="51" spans="1:24" ht="17" x14ac:dyDescent="0.25">
      <c r="A51" s="5">
        <v>26</v>
      </c>
      <c r="B51" s="53" t="s">
        <v>87</v>
      </c>
      <c r="C51" s="24" t="s">
        <v>88</v>
      </c>
      <c r="D51" s="24"/>
      <c r="E51" s="39">
        <f>IF(E$46&gt;0,ROUND((E49/E$46)*E$47,0),0)</f>
        <v>161</v>
      </c>
      <c r="F51" s="39">
        <f t="shared" ref="F51:X52" si="30">IF(F$46&gt;0,ROUND((F49/F$46)*F$47,0),0)</f>
        <v>107</v>
      </c>
      <c r="G51" s="39">
        <f t="shared" si="30"/>
        <v>20</v>
      </c>
      <c r="H51" s="39">
        <f t="shared" si="30"/>
        <v>23</v>
      </c>
      <c r="I51" s="39">
        <f t="shared" si="30"/>
        <v>21</v>
      </c>
      <c r="J51" s="39">
        <f t="shared" si="30"/>
        <v>19</v>
      </c>
      <c r="K51" s="39">
        <f t="shared" si="30"/>
        <v>21</v>
      </c>
      <c r="L51" s="39">
        <f t="shared" si="30"/>
        <v>19</v>
      </c>
      <c r="M51" s="39">
        <f t="shared" si="30"/>
        <v>17</v>
      </c>
      <c r="N51" s="39">
        <f t="shared" si="30"/>
        <v>17</v>
      </c>
      <c r="O51" s="39">
        <f t="shared" si="30"/>
        <v>17</v>
      </c>
      <c r="P51" s="39">
        <f t="shared" si="30"/>
        <v>16</v>
      </c>
      <c r="Q51" s="39">
        <f t="shared" si="30"/>
        <v>15</v>
      </c>
      <c r="R51" s="39">
        <f t="shared" si="30"/>
        <v>15</v>
      </c>
      <c r="S51" s="39">
        <f t="shared" si="30"/>
        <v>14</v>
      </c>
      <c r="T51" s="39">
        <f t="shared" si="30"/>
        <v>13</v>
      </c>
      <c r="U51" s="39">
        <f t="shared" si="30"/>
        <v>13</v>
      </c>
      <c r="V51" s="39">
        <f t="shared" si="30"/>
        <v>13</v>
      </c>
      <c r="W51" s="39">
        <f t="shared" si="30"/>
        <v>11</v>
      </c>
      <c r="X51" s="39">
        <f t="shared" si="30"/>
        <v>12</v>
      </c>
    </row>
    <row r="52" spans="1:24" ht="17" x14ac:dyDescent="0.25">
      <c r="A52" s="5">
        <v>26</v>
      </c>
      <c r="B52" s="53" t="s">
        <v>87</v>
      </c>
      <c r="C52" s="24" t="s">
        <v>89</v>
      </c>
      <c r="D52" s="37"/>
      <c r="E52" s="39">
        <f>IF(E$46&gt;0,ROUND((E50/E$46)*E$47,0),0)</f>
        <v>384</v>
      </c>
      <c r="F52" s="39">
        <f t="shared" si="30"/>
        <v>255</v>
      </c>
      <c r="G52" s="39">
        <f t="shared" si="30"/>
        <v>48</v>
      </c>
      <c r="H52" s="39">
        <f t="shared" si="30"/>
        <v>56</v>
      </c>
      <c r="I52" s="39">
        <f t="shared" si="30"/>
        <v>50</v>
      </c>
      <c r="J52" s="39">
        <f t="shared" si="30"/>
        <v>44</v>
      </c>
      <c r="K52" s="39">
        <f t="shared" si="30"/>
        <v>51</v>
      </c>
      <c r="L52" s="39">
        <f t="shared" si="30"/>
        <v>45</v>
      </c>
      <c r="M52" s="39">
        <f t="shared" si="30"/>
        <v>39</v>
      </c>
      <c r="N52" s="39">
        <f t="shared" si="30"/>
        <v>39</v>
      </c>
      <c r="O52" s="39">
        <f t="shared" si="30"/>
        <v>39</v>
      </c>
      <c r="P52" s="39">
        <f t="shared" si="30"/>
        <v>37</v>
      </c>
      <c r="Q52" s="39">
        <f t="shared" si="30"/>
        <v>35</v>
      </c>
      <c r="R52" s="39">
        <f t="shared" si="30"/>
        <v>36</v>
      </c>
      <c r="S52" s="39">
        <f t="shared" si="30"/>
        <v>32</v>
      </c>
      <c r="T52" s="39">
        <f t="shared" si="30"/>
        <v>31</v>
      </c>
      <c r="U52" s="39">
        <f t="shared" si="30"/>
        <v>30</v>
      </c>
      <c r="V52" s="39">
        <f t="shared" si="30"/>
        <v>30</v>
      </c>
      <c r="W52" s="39">
        <f t="shared" si="30"/>
        <v>28</v>
      </c>
      <c r="X52" s="39">
        <f t="shared" si="30"/>
        <v>28</v>
      </c>
    </row>
    <row r="53" spans="1:24" ht="17" x14ac:dyDescent="0.25">
      <c r="A53" s="5">
        <v>27</v>
      </c>
      <c r="B53" s="53" t="s">
        <v>90</v>
      </c>
      <c r="C53" s="24" t="s">
        <v>91</v>
      </c>
      <c r="D53" s="24"/>
      <c r="E53" s="39">
        <f>E49-E51</f>
        <v>909</v>
      </c>
      <c r="F53" s="39">
        <f t="shared" ref="F53:X54" si="31">F49-F51</f>
        <v>607</v>
      </c>
      <c r="G53" s="39">
        <f t="shared" si="31"/>
        <v>113</v>
      </c>
      <c r="H53" s="39">
        <f t="shared" si="31"/>
        <v>132</v>
      </c>
      <c r="I53" s="39">
        <f t="shared" si="31"/>
        <v>119</v>
      </c>
      <c r="J53" s="39">
        <f t="shared" si="31"/>
        <v>105</v>
      </c>
      <c r="K53" s="39">
        <f t="shared" si="31"/>
        <v>121</v>
      </c>
      <c r="L53" s="39">
        <f t="shared" si="31"/>
        <v>106</v>
      </c>
      <c r="M53" s="39">
        <f t="shared" si="31"/>
        <v>93</v>
      </c>
      <c r="N53" s="39">
        <f t="shared" si="31"/>
        <v>92</v>
      </c>
      <c r="O53" s="39">
        <f t="shared" si="31"/>
        <v>92</v>
      </c>
      <c r="P53" s="39">
        <f t="shared" si="31"/>
        <v>87</v>
      </c>
      <c r="Q53" s="39">
        <f t="shared" si="31"/>
        <v>82</v>
      </c>
      <c r="R53" s="39">
        <f t="shared" si="31"/>
        <v>84</v>
      </c>
      <c r="S53" s="39">
        <f t="shared" si="31"/>
        <v>75</v>
      </c>
      <c r="T53" s="39">
        <f t="shared" si="31"/>
        <v>72</v>
      </c>
      <c r="U53" s="39">
        <f t="shared" si="31"/>
        <v>71</v>
      </c>
      <c r="V53" s="39">
        <f t="shared" si="31"/>
        <v>70</v>
      </c>
      <c r="W53" s="39">
        <f t="shared" si="31"/>
        <v>64</v>
      </c>
      <c r="X53" s="39">
        <f t="shared" si="31"/>
        <v>66</v>
      </c>
    </row>
    <row r="54" spans="1:24" ht="17" x14ac:dyDescent="0.25">
      <c r="A54" s="5">
        <v>27</v>
      </c>
      <c r="B54" s="53" t="s">
        <v>90</v>
      </c>
      <c r="C54" s="24" t="s">
        <v>92</v>
      </c>
      <c r="D54" s="24"/>
      <c r="E54" s="39">
        <f>E50-E52</f>
        <v>2173</v>
      </c>
      <c r="F54" s="39">
        <f t="shared" si="31"/>
        <v>1443</v>
      </c>
      <c r="G54" s="39">
        <f t="shared" si="31"/>
        <v>267</v>
      </c>
      <c r="H54" s="39">
        <f t="shared" si="31"/>
        <v>314</v>
      </c>
      <c r="I54" s="39">
        <f t="shared" si="31"/>
        <v>283</v>
      </c>
      <c r="J54" s="39">
        <f t="shared" si="31"/>
        <v>251</v>
      </c>
      <c r="K54" s="39">
        <f t="shared" si="31"/>
        <v>287</v>
      </c>
      <c r="L54" s="39">
        <f t="shared" si="31"/>
        <v>254</v>
      </c>
      <c r="M54" s="39">
        <f t="shared" si="31"/>
        <v>224</v>
      </c>
      <c r="N54" s="39">
        <f t="shared" si="31"/>
        <v>219</v>
      </c>
      <c r="O54" s="39">
        <f t="shared" si="31"/>
        <v>220</v>
      </c>
      <c r="P54" s="39">
        <f t="shared" si="31"/>
        <v>208</v>
      </c>
      <c r="Q54" s="39">
        <f t="shared" si="31"/>
        <v>197</v>
      </c>
      <c r="R54" s="39">
        <f t="shared" si="31"/>
        <v>200</v>
      </c>
      <c r="S54" s="39">
        <f t="shared" si="31"/>
        <v>181</v>
      </c>
      <c r="T54" s="39">
        <f t="shared" si="31"/>
        <v>171</v>
      </c>
      <c r="U54" s="39">
        <f t="shared" si="31"/>
        <v>172</v>
      </c>
      <c r="V54" s="39">
        <f t="shared" si="31"/>
        <v>169</v>
      </c>
      <c r="W54" s="39">
        <f t="shared" si="31"/>
        <v>152</v>
      </c>
      <c r="X54" s="39">
        <f t="shared" si="31"/>
        <v>158</v>
      </c>
    </row>
    <row r="55" spans="1:24" x14ac:dyDescent="0.2">
      <c r="A55" s="5"/>
      <c r="B55" s="53"/>
      <c r="C55" s="24" t="s">
        <v>93</v>
      </c>
      <c r="D55" s="37"/>
      <c r="E55" s="39">
        <f>D$55+E$46</f>
        <v>3627</v>
      </c>
      <c r="F55" s="39">
        <f t="shared" ref="F55:X55" si="32">E$55+F$46</f>
        <v>6039</v>
      </c>
      <c r="G55" s="39">
        <f t="shared" si="32"/>
        <v>6487</v>
      </c>
      <c r="H55" s="39">
        <f t="shared" si="32"/>
        <v>7012</v>
      </c>
      <c r="I55" s="39">
        <f t="shared" si="32"/>
        <v>7485</v>
      </c>
      <c r="J55" s="39">
        <f t="shared" si="32"/>
        <v>7904</v>
      </c>
      <c r="K55" s="39">
        <f t="shared" si="32"/>
        <v>8384</v>
      </c>
      <c r="L55" s="39">
        <f t="shared" si="32"/>
        <v>8808</v>
      </c>
      <c r="M55" s="39">
        <f t="shared" si="32"/>
        <v>9181</v>
      </c>
      <c r="N55" s="39">
        <f t="shared" si="32"/>
        <v>9548</v>
      </c>
      <c r="O55" s="39">
        <f t="shared" si="32"/>
        <v>9916</v>
      </c>
      <c r="P55" s="39">
        <f t="shared" si="32"/>
        <v>10264</v>
      </c>
      <c r="Q55" s="39">
        <f t="shared" si="32"/>
        <v>10593</v>
      </c>
      <c r="R55" s="39">
        <f t="shared" si="32"/>
        <v>10928</v>
      </c>
      <c r="S55" s="39">
        <f t="shared" si="32"/>
        <v>11230</v>
      </c>
      <c r="T55" s="39">
        <f t="shared" si="32"/>
        <v>11517</v>
      </c>
      <c r="U55" s="39">
        <f t="shared" si="32"/>
        <v>11803</v>
      </c>
      <c r="V55" s="39">
        <f t="shared" si="32"/>
        <v>12085</v>
      </c>
      <c r="W55" s="39">
        <f t="shared" si="32"/>
        <v>12340</v>
      </c>
      <c r="X55" s="39">
        <f t="shared" si="32"/>
        <v>12604</v>
      </c>
    </row>
    <row r="56" spans="1:24" x14ac:dyDescent="0.2">
      <c r="A56" s="5"/>
      <c r="B56" s="53"/>
      <c r="C56" s="24" t="s">
        <v>94</v>
      </c>
      <c r="D56" s="37"/>
      <c r="E56" s="39">
        <f t="shared" ref="E56:X56" si="33">D$56+E$47</f>
        <v>545</v>
      </c>
      <c r="F56" s="39">
        <f t="shared" si="33"/>
        <v>907</v>
      </c>
      <c r="G56" s="39">
        <f t="shared" si="33"/>
        <v>975</v>
      </c>
      <c r="H56" s="39">
        <f t="shared" si="33"/>
        <v>1054</v>
      </c>
      <c r="I56" s="39">
        <f t="shared" si="33"/>
        <v>1125</v>
      </c>
      <c r="J56" s="39">
        <f t="shared" si="33"/>
        <v>1188</v>
      </c>
      <c r="K56" s="39">
        <f t="shared" si="33"/>
        <v>1260</v>
      </c>
      <c r="L56" s="39">
        <f t="shared" si="33"/>
        <v>1324</v>
      </c>
      <c r="M56" s="39">
        <f t="shared" si="33"/>
        <v>1380</v>
      </c>
      <c r="N56" s="39">
        <f t="shared" si="33"/>
        <v>1436</v>
      </c>
      <c r="O56" s="39">
        <f t="shared" si="33"/>
        <v>1492</v>
      </c>
      <c r="P56" s="39">
        <f t="shared" si="33"/>
        <v>1545</v>
      </c>
      <c r="Q56" s="39">
        <f t="shared" si="33"/>
        <v>1595</v>
      </c>
      <c r="R56" s="39">
        <f t="shared" si="33"/>
        <v>1646</v>
      </c>
      <c r="S56" s="39">
        <f t="shared" si="33"/>
        <v>1692</v>
      </c>
      <c r="T56" s="39">
        <f t="shared" si="33"/>
        <v>1736</v>
      </c>
      <c r="U56" s="39">
        <f t="shared" si="33"/>
        <v>1779</v>
      </c>
      <c r="V56" s="39">
        <f t="shared" si="33"/>
        <v>1822</v>
      </c>
      <c r="W56" s="39">
        <f t="shared" si="33"/>
        <v>1861</v>
      </c>
      <c r="X56" s="39">
        <f t="shared" si="33"/>
        <v>1901</v>
      </c>
    </row>
    <row r="57" spans="1:24" x14ac:dyDescent="0.2">
      <c r="A57" s="5"/>
      <c r="B57" s="53"/>
      <c r="C57" s="24" t="s">
        <v>95</v>
      </c>
      <c r="D57" s="37"/>
      <c r="E57" s="39">
        <f>D$57+E$48</f>
        <v>3082</v>
      </c>
      <c r="F57" s="39">
        <f t="shared" ref="F57:X57" si="34">E$57+F$48</f>
        <v>5132</v>
      </c>
      <c r="G57" s="39">
        <f t="shared" si="34"/>
        <v>5512</v>
      </c>
      <c r="H57" s="39">
        <f t="shared" si="34"/>
        <v>5958</v>
      </c>
      <c r="I57" s="39">
        <f t="shared" si="34"/>
        <v>6360</v>
      </c>
      <c r="J57" s="39">
        <f t="shared" si="34"/>
        <v>6716</v>
      </c>
      <c r="K57" s="39">
        <f t="shared" si="34"/>
        <v>7124</v>
      </c>
      <c r="L57" s="39">
        <f t="shared" si="34"/>
        <v>7484</v>
      </c>
      <c r="M57" s="39">
        <f t="shared" si="34"/>
        <v>7801</v>
      </c>
      <c r="N57" s="39">
        <f t="shared" si="34"/>
        <v>8112</v>
      </c>
      <c r="O57" s="39">
        <f t="shared" si="34"/>
        <v>8424</v>
      </c>
      <c r="P57" s="39">
        <f t="shared" si="34"/>
        <v>8719</v>
      </c>
      <c r="Q57" s="39">
        <f t="shared" si="34"/>
        <v>8998</v>
      </c>
      <c r="R57" s="39">
        <f t="shared" si="34"/>
        <v>9282</v>
      </c>
      <c r="S57" s="39">
        <f t="shared" si="34"/>
        <v>9538</v>
      </c>
      <c r="T57" s="39">
        <f t="shared" si="34"/>
        <v>9781</v>
      </c>
      <c r="U57" s="39">
        <f t="shared" si="34"/>
        <v>10024</v>
      </c>
      <c r="V57" s="39">
        <f t="shared" si="34"/>
        <v>10263</v>
      </c>
      <c r="W57" s="39">
        <f t="shared" si="34"/>
        <v>10479</v>
      </c>
      <c r="X57" s="39">
        <f t="shared" si="34"/>
        <v>10703</v>
      </c>
    </row>
    <row r="58" spans="1:24" x14ac:dyDescent="0.2">
      <c r="A58" s="5"/>
      <c r="B58" s="53"/>
      <c r="C58" s="41" t="s">
        <v>96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1:24" x14ac:dyDescent="0.2">
      <c r="A59" s="5"/>
      <c r="B59" s="53"/>
      <c r="C59" s="43" t="s">
        <v>97</v>
      </c>
      <c r="D59" s="44"/>
      <c r="E59" s="45">
        <f>IF($E$45&gt;=0, 0, $E$45)</f>
        <v>0</v>
      </c>
      <c r="F59" s="45">
        <f>IF(AND(COUNTIF($E59:E59,0)=0,F45+E59&lt;0),F45+E59,0)</f>
        <v>0</v>
      </c>
      <c r="G59" s="45">
        <f>IF(AND(COUNTIF($E59:F59,0)=0,G45+F59&lt;0),G45+F59,0)</f>
        <v>0</v>
      </c>
      <c r="H59" s="45">
        <f>IF(AND(COUNTIF($E59:G59,0)=0,H45+G59&lt;0),H45+G59,0)</f>
        <v>0</v>
      </c>
      <c r="I59" s="45">
        <f>IF(AND(COUNTIF($E59:H59,0)=0,I45+H59&lt;0),I45+H59,0)</f>
        <v>0</v>
      </c>
      <c r="J59" s="45">
        <f>IF(AND(COUNTIF($E59:I59,0)=0,J45+I59&lt;0),J45+I59,0)</f>
        <v>0</v>
      </c>
      <c r="K59" s="45">
        <f>IF(AND(COUNTIF($E59:J59,0)=0,K45+J59&lt;0),K45+J59,0)</f>
        <v>0</v>
      </c>
      <c r="L59" s="45">
        <f>IF(AND(COUNTIF($E59:K59,0)=0,L45+K59&lt;0),L45+K59,0)</f>
        <v>0</v>
      </c>
      <c r="M59" s="45">
        <f>IF(AND(COUNTIF($E59:L59,0)=0,M45+L59&lt;0),M45+L59,0)</f>
        <v>0</v>
      </c>
      <c r="N59" s="45">
        <f>IF(AND(COUNTIF($E59:M59,0)=0,N45+M59&lt;0),N45+M59,0)</f>
        <v>0</v>
      </c>
      <c r="O59" s="45">
        <f>IF(AND(COUNTIF($E59:N59,0)=0,O45+N59&lt;0),O45+N59,0)</f>
        <v>0</v>
      </c>
      <c r="P59" s="45">
        <f>IF(AND(COUNTIF($E59:O59,0)=0,P45+O59&lt;0),P45+O59,0)</f>
        <v>0</v>
      </c>
      <c r="Q59" s="45">
        <f>IF(AND(COUNTIF($E59:P59,0)=0,Q45+P59&lt;0),Q45+P59,0)</f>
        <v>0</v>
      </c>
      <c r="R59" s="45">
        <f>IF(AND(COUNTIF($E59:Q59,0)=0,R45+Q59&lt;0),R45+Q59,0)</f>
        <v>0</v>
      </c>
      <c r="S59" s="45">
        <f>IF(AND(COUNTIF($E59:R59,0)=0,S45+R59&lt;0),S45+R59,0)</f>
        <v>0</v>
      </c>
      <c r="T59" s="45">
        <f>IF(AND(COUNTIF($E59:S59,0)=0,T45+S59&lt;0),T45+S59,0)</f>
        <v>0</v>
      </c>
      <c r="U59" s="45">
        <f>IF(AND(COUNTIF($E59:T59,0)=0,U45+T59&lt;0),U45+T59,0)</f>
        <v>0</v>
      </c>
      <c r="V59" s="45">
        <f>IF(AND(COUNTIF($E59:U59,0)=0,V45+U59&lt;0),V45+U59,0)</f>
        <v>0</v>
      </c>
      <c r="W59" s="45">
        <f>IF(AND(COUNTIF($E59:V59,0)=0,W45+V59&lt;0),W45+V59,0)</f>
        <v>0</v>
      </c>
      <c r="X59" s="45">
        <f>IF(AND(COUNTIF($E59:W59,0)=0,X45+W59&lt;0),X45+W59,0)</f>
        <v>0</v>
      </c>
    </row>
    <row r="60" spans="1:24" x14ac:dyDescent="0.2">
      <c r="A60" s="5"/>
      <c r="B60" s="53"/>
      <c r="C60" s="43" t="s">
        <v>98</v>
      </c>
      <c r="D60" s="44"/>
      <c r="E60" s="45">
        <f>IF(E45&lt;0,IF(E59=0,E45,0),0)</f>
        <v>0</v>
      </c>
      <c r="F60" s="45">
        <f t="shared" ref="F60:X60" si="35">IF(F45&lt;0,IF(F59=0,F45,0),0)</f>
        <v>0</v>
      </c>
      <c r="G60" s="45">
        <f t="shared" si="35"/>
        <v>0</v>
      </c>
      <c r="H60" s="45">
        <f t="shared" si="35"/>
        <v>0</v>
      </c>
      <c r="I60" s="45">
        <f t="shared" si="35"/>
        <v>0</v>
      </c>
      <c r="J60" s="45">
        <f t="shared" si="35"/>
        <v>0</v>
      </c>
      <c r="K60" s="45">
        <f t="shared" si="35"/>
        <v>0</v>
      </c>
      <c r="L60" s="45">
        <f t="shared" si="35"/>
        <v>0</v>
      </c>
      <c r="M60" s="45">
        <f t="shared" si="35"/>
        <v>0</v>
      </c>
      <c r="N60" s="45">
        <f t="shared" si="35"/>
        <v>0</v>
      </c>
      <c r="O60" s="45">
        <f t="shared" si="35"/>
        <v>0</v>
      </c>
      <c r="P60" s="45">
        <f t="shared" si="35"/>
        <v>0</v>
      </c>
      <c r="Q60" s="45">
        <f t="shared" si="35"/>
        <v>0</v>
      </c>
      <c r="R60" s="45">
        <f t="shared" si="35"/>
        <v>0</v>
      </c>
      <c r="S60" s="45">
        <f t="shared" si="35"/>
        <v>0</v>
      </c>
      <c r="T60" s="45">
        <f t="shared" si="35"/>
        <v>0</v>
      </c>
      <c r="U60" s="45">
        <f t="shared" si="35"/>
        <v>0</v>
      </c>
      <c r="V60" s="45">
        <f t="shared" si="35"/>
        <v>0</v>
      </c>
      <c r="W60" s="45">
        <f t="shared" si="35"/>
        <v>0</v>
      </c>
      <c r="X60" s="45">
        <f t="shared" si="35"/>
        <v>0</v>
      </c>
    </row>
    <row r="61" spans="1:24" x14ac:dyDescent="0.2">
      <c r="A61" s="5"/>
      <c r="B61" s="53"/>
      <c r="C61" s="46" t="s">
        <v>99</v>
      </c>
      <c r="D61" s="47"/>
      <c r="E61" s="48">
        <f>D$61+E$60</f>
        <v>0</v>
      </c>
      <c r="F61" s="48">
        <f t="shared" ref="F61:X61" si="36">E$61+F$60</f>
        <v>0</v>
      </c>
      <c r="G61" s="48">
        <f t="shared" si="36"/>
        <v>0</v>
      </c>
      <c r="H61" s="48">
        <f t="shared" si="36"/>
        <v>0</v>
      </c>
      <c r="I61" s="48">
        <f t="shared" si="36"/>
        <v>0</v>
      </c>
      <c r="J61" s="48">
        <f t="shared" si="36"/>
        <v>0</v>
      </c>
      <c r="K61" s="48">
        <f t="shared" si="36"/>
        <v>0</v>
      </c>
      <c r="L61" s="48">
        <f t="shared" si="36"/>
        <v>0</v>
      </c>
      <c r="M61" s="48">
        <f t="shared" si="36"/>
        <v>0</v>
      </c>
      <c r="N61" s="48">
        <f t="shared" si="36"/>
        <v>0</v>
      </c>
      <c r="O61" s="48">
        <f t="shared" si="36"/>
        <v>0</v>
      </c>
      <c r="P61" s="48">
        <f t="shared" si="36"/>
        <v>0</v>
      </c>
      <c r="Q61" s="48">
        <f t="shared" si="36"/>
        <v>0</v>
      </c>
      <c r="R61" s="48">
        <f t="shared" si="36"/>
        <v>0</v>
      </c>
      <c r="S61" s="48">
        <f t="shared" si="36"/>
        <v>0</v>
      </c>
      <c r="T61" s="48">
        <f t="shared" si="36"/>
        <v>0</v>
      </c>
      <c r="U61" s="48">
        <f t="shared" si="36"/>
        <v>0</v>
      </c>
      <c r="V61" s="48">
        <f t="shared" si="36"/>
        <v>0</v>
      </c>
      <c r="W61" s="48">
        <f t="shared" si="36"/>
        <v>0</v>
      </c>
      <c r="X61" s="48">
        <f t="shared" si="36"/>
        <v>0</v>
      </c>
    </row>
    <row r="62" spans="1:24" x14ac:dyDescent="0.2">
      <c r="A62" s="5"/>
      <c r="B62" s="53"/>
      <c r="C62" s="61" t="s">
        <v>100</v>
      </c>
      <c r="D62" s="59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</row>
    <row r="63" spans="1:24" ht="17" x14ac:dyDescent="0.25">
      <c r="A63" s="5">
        <v>28</v>
      </c>
      <c r="B63" s="53" t="s">
        <v>101</v>
      </c>
      <c r="C63" s="62" t="s">
        <v>102</v>
      </c>
      <c r="D63" s="59"/>
      <c r="E63" s="60">
        <f>IF(E46&lt;0,0,IF(E38&lt;0,0,IF(ROUNDDOWN(E38*(1-$E$15)*(1-E$43),0)&gt;=E46,E46,ROUNDDOWN(E38*(1-$E$15)*(1-E$43),0))))</f>
        <v>485</v>
      </c>
      <c r="F63" s="60">
        <f t="shared" ref="F63:X63" si="37">IF(F46&lt;0,0,IF(F38&lt;0,0,IF(ROUNDDOWN(F38*(1-$E$15)*(1-F$43),0)&gt;=F46,F46,ROUNDDOWN(F38*(1-$E$15)*(1-F$43),0))))</f>
        <v>470</v>
      </c>
      <c r="G63" s="60">
        <f t="shared" si="37"/>
        <v>448</v>
      </c>
      <c r="H63" s="60">
        <f t="shared" si="37"/>
        <v>525</v>
      </c>
      <c r="I63" s="60">
        <f t="shared" si="37"/>
        <v>473</v>
      </c>
      <c r="J63" s="60">
        <f t="shared" si="37"/>
        <v>419</v>
      </c>
      <c r="K63" s="60">
        <f t="shared" si="37"/>
        <v>480</v>
      </c>
      <c r="L63" s="60">
        <f t="shared" si="37"/>
        <v>424</v>
      </c>
      <c r="M63" s="60">
        <f t="shared" si="37"/>
        <v>373</v>
      </c>
      <c r="N63" s="60">
        <f t="shared" si="37"/>
        <v>367</v>
      </c>
      <c r="O63" s="60">
        <f t="shared" si="37"/>
        <v>368</v>
      </c>
      <c r="P63" s="60">
        <f t="shared" si="37"/>
        <v>348</v>
      </c>
      <c r="Q63" s="60">
        <f t="shared" si="37"/>
        <v>329</v>
      </c>
      <c r="R63" s="60">
        <f t="shared" si="37"/>
        <v>335</v>
      </c>
      <c r="S63" s="60">
        <f t="shared" si="37"/>
        <v>302</v>
      </c>
      <c r="T63" s="60">
        <f t="shared" si="37"/>
        <v>287</v>
      </c>
      <c r="U63" s="60">
        <f t="shared" si="37"/>
        <v>286</v>
      </c>
      <c r="V63" s="60">
        <f t="shared" si="37"/>
        <v>282</v>
      </c>
      <c r="W63" s="60">
        <f t="shared" si="37"/>
        <v>255</v>
      </c>
      <c r="X63" s="60">
        <f t="shared" si="37"/>
        <v>264</v>
      </c>
    </row>
    <row r="64" spans="1:24" ht="17" x14ac:dyDescent="0.25">
      <c r="A64" s="5">
        <v>29</v>
      </c>
      <c r="B64" s="53" t="s">
        <v>103</v>
      </c>
      <c r="C64" s="62" t="s">
        <v>104</v>
      </c>
      <c r="D64" s="59"/>
      <c r="E64" s="60">
        <f>E46-E63</f>
        <v>3142</v>
      </c>
      <c r="F64" s="60">
        <f t="shared" ref="F64:X64" si="38">F46-F63</f>
        <v>1942</v>
      </c>
      <c r="G64" s="60">
        <f t="shared" si="38"/>
        <v>0</v>
      </c>
      <c r="H64" s="60">
        <f t="shared" si="38"/>
        <v>0</v>
      </c>
      <c r="I64" s="60">
        <f t="shared" si="38"/>
        <v>0</v>
      </c>
      <c r="J64" s="60">
        <f t="shared" si="38"/>
        <v>0</v>
      </c>
      <c r="K64" s="60">
        <f t="shared" si="38"/>
        <v>0</v>
      </c>
      <c r="L64" s="60">
        <f t="shared" si="38"/>
        <v>0</v>
      </c>
      <c r="M64" s="60">
        <f t="shared" si="38"/>
        <v>0</v>
      </c>
      <c r="N64" s="60">
        <f t="shared" si="38"/>
        <v>0</v>
      </c>
      <c r="O64" s="60">
        <f t="shared" si="38"/>
        <v>0</v>
      </c>
      <c r="P64" s="60">
        <f t="shared" si="38"/>
        <v>0</v>
      </c>
      <c r="Q64" s="60">
        <f t="shared" si="38"/>
        <v>0</v>
      </c>
      <c r="R64" s="60">
        <f t="shared" si="38"/>
        <v>0</v>
      </c>
      <c r="S64" s="60">
        <f t="shared" si="38"/>
        <v>0</v>
      </c>
      <c r="T64" s="60">
        <f t="shared" si="38"/>
        <v>0</v>
      </c>
      <c r="U64" s="60">
        <f t="shared" si="38"/>
        <v>0</v>
      </c>
      <c r="V64" s="60">
        <f t="shared" si="38"/>
        <v>0</v>
      </c>
      <c r="W64" s="60">
        <f t="shared" si="38"/>
        <v>0</v>
      </c>
      <c r="X64" s="60">
        <f t="shared" si="38"/>
        <v>0</v>
      </c>
    </row>
    <row r="65" spans="1:24" x14ac:dyDescent="0.2">
      <c r="A65" s="5"/>
      <c r="B65" s="53"/>
      <c r="C65" s="62" t="s">
        <v>105</v>
      </c>
      <c r="D65" s="59"/>
      <c r="E65" s="64">
        <f>ROUND(E$63*((DATE(YEAR(E$22),1,1)-DATE(YEAR(D$22),MONTH($E$17),DAY($E$17)))/(365+IF(MOD(YEAR(D$22),4),0,1))),0)</f>
        <v>143</v>
      </c>
      <c r="F65" s="64">
        <f t="shared" ref="F65:X65" si="39">ROUND(F$63*((DATE(YEAR(F$22),1,1)-DATE(YEAR(E$22),MONTH($E$17),DAY($E$17)))/(365+IF(MOD(YEAR(E$22),4),0,1))),0)</f>
        <v>139</v>
      </c>
      <c r="G65" s="64">
        <f t="shared" si="39"/>
        <v>133</v>
      </c>
      <c r="H65" s="64">
        <f t="shared" si="39"/>
        <v>155</v>
      </c>
      <c r="I65" s="64">
        <f t="shared" si="39"/>
        <v>140</v>
      </c>
      <c r="J65" s="64">
        <f t="shared" si="39"/>
        <v>124</v>
      </c>
      <c r="K65" s="64">
        <f t="shared" si="39"/>
        <v>142</v>
      </c>
      <c r="L65" s="64">
        <f t="shared" si="39"/>
        <v>125</v>
      </c>
      <c r="M65" s="64">
        <f t="shared" si="39"/>
        <v>110</v>
      </c>
      <c r="N65" s="64">
        <f t="shared" si="39"/>
        <v>109</v>
      </c>
      <c r="O65" s="64">
        <f t="shared" si="39"/>
        <v>109</v>
      </c>
      <c r="P65" s="64">
        <f t="shared" si="39"/>
        <v>103</v>
      </c>
      <c r="Q65" s="64">
        <f t="shared" si="39"/>
        <v>97</v>
      </c>
      <c r="R65" s="64">
        <f t="shared" si="39"/>
        <v>99</v>
      </c>
      <c r="S65" s="64">
        <f t="shared" si="39"/>
        <v>89</v>
      </c>
      <c r="T65" s="64">
        <f t="shared" si="39"/>
        <v>85</v>
      </c>
      <c r="U65" s="64">
        <f t="shared" si="39"/>
        <v>84</v>
      </c>
      <c r="V65" s="64">
        <f t="shared" si="39"/>
        <v>83</v>
      </c>
      <c r="W65" s="64">
        <f t="shared" si="39"/>
        <v>75</v>
      </c>
      <c r="X65" s="64">
        <f t="shared" si="39"/>
        <v>78</v>
      </c>
    </row>
    <row r="66" spans="1:24" x14ac:dyDescent="0.2">
      <c r="A66" s="5"/>
      <c r="B66" s="53"/>
      <c r="C66" s="62" t="s">
        <v>106</v>
      </c>
      <c r="D66" s="59"/>
      <c r="E66" s="60">
        <f>ROUND(E$63*((DATE(YEAR(D$22),MONTH($E$17),DAY($E$17))-(DATE(YEAR(D$22),1,1)))/(365+IF(MOD(YEAR(D$22),4),0,1))),0)</f>
        <v>342</v>
      </c>
      <c r="F66" s="60">
        <f t="shared" ref="F66:X66" si="40">ROUND(F$63*((DATE(YEAR(E$22),MONTH($E$17),DAY($E$17))-(DATE(YEAR(E$22),1,1)))/(365+IF(MOD(YEAR(E$22),4),0,1))),0)</f>
        <v>331</v>
      </c>
      <c r="G66" s="60">
        <f t="shared" si="40"/>
        <v>315</v>
      </c>
      <c r="H66" s="60">
        <f t="shared" si="40"/>
        <v>370</v>
      </c>
      <c r="I66" s="60">
        <f t="shared" si="40"/>
        <v>333</v>
      </c>
      <c r="J66" s="60">
        <f t="shared" si="40"/>
        <v>295</v>
      </c>
      <c r="K66" s="60">
        <f t="shared" si="40"/>
        <v>338</v>
      </c>
      <c r="L66" s="60">
        <f t="shared" si="40"/>
        <v>299</v>
      </c>
      <c r="M66" s="60">
        <f t="shared" si="40"/>
        <v>263</v>
      </c>
      <c r="N66" s="60">
        <f t="shared" si="40"/>
        <v>258</v>
      </c>
      <c r="O66" s="60">
        <f t="shared" si="40"/>
        <v>259</v>
      </c>
      <c r="P66" s="60">
        <f t="shared" si="40"/>
        <v>245</v>
      </c>
      <c r="Q66" s="60">
        <f t="shared" si="40"/>
        <v>232</v>
      </c>
      <c r="R66" s="60">
        <f t="shared" si="40"/>
        <v>236</v>
      </c>
      <c r="S66" s="60">
        <f t="shared" si="40"/>
        <v>213</v>
      </c>
      <c r="T66" s="60">
        <f t="shared" si="40"/>
        <v>202</v>
      </c>
      <c r="U66" s="60">
        <f t="shared" si="40"/>
        <v>202</v>
      </c>
      <c r="V66" s="60">
        <f t="shared" si="40"/>
        <v>199</v>
      </c>
      <c r="W66" s="60">
        <f t="shared" si="40"/>
        <v>180</v>
      </c>
      <c r="X66" s="60">
        <f t="shared" si="40"/>
        <v>186</v>
      </c>
    </row>
    <row r="67" spans="1:24" x14ac:dyDescent="0.2">
      <c r="A67" s="5"/>
      <c r="B67" s="53"/>
      <c r="C67" s="63" t="s">
        <v>107</v>
      </c>
      <c r="D67" s="59"/>
      <c r="E67" s="60">
        <f>E49-E65</f>
        <v>927</v>
      </c>
      <c r="F67" s="60">
        <f t="shared" ref="F67:X67" si="41">F49-F65</f>
        <v>575</v>
      </c>
      <c r="G67" s="60">
        <f t="shared" si="41"/>
        <v>0</v>
      </c>
      <c r="H67" s="60">
        <f t="shared" si="41"/>
        <v>0</v>
      </c>
      <c r="I67" s="60">
        <f t="shared" si="41"/>
        <v>0</v>
      </c>
      <c r="J67" s="60">
        <f t="shared" si="41"/>
        <v>0</v>
      </c>
      <c r="K67" s="60">
        <f t="shared" si="41"/>
        <v>0</v>
      </c>
      <c r="L67" s="60">
        <f t="shared" si="41"/>
        <v>0</v>
      </c>
      <c r="M67" s="60">
        <f t="shared" si="41"/>
        <v>0</v>
      </c>
      <c r="N67" s="60">
        <f t="shared" si="41"/>
        <v>0</v>
      </c>
      <c r="O67" s="60">
        <f t="shared" si="41"/>
        <v>0</v>
      </c>
      <c r="P67" s="60">
        <f t="shared" si="41"/>
        <v>0</v>
      </c>
      <c r="Q67" s="60">
        <f t="shared" si="41"/>
        <v>0</v>
      </c>
      <c r="R67" s="60">
        <f t="shared" si="41"/>
        <v>0</v>
      </c>
      <c r="S67" s="60">
        <f t="shared" si="41"/>
        <v>0</v>
      </c>
      <c r="T67" s="60">
        <f t="shared" si="41"/>
        <v>0</v>
      </c>
      <c r="U67" s="60">
        <f t="shared" si="41"/>
        <v>0</v>
      </c>
      <c r="V67" s="60">
        <f t="shared" si="41"/>
        <v>0</v>
      </c>
      <c r="W67" s="60">
        <f t="shared" si="41"/>
        <v>0</v>
      </c>
      <c r="X67" s="60">
        <f t="shared" si="41"/>
        <v>0</v>
      </c>
    </row>
    <row r="68" spans="1:24" x14ac:dyDescent="0.2">
      <c r="A68" s="5"/>
      <c r="B68" s="50"/>
      <c r="C68" s="63" t="s">
        <v>108</v>
      </c>
      <c r="D68" s="59"/>
      <c r="E68" s="60">
        <f>E50-E66</f>
        <v>2215</v>
      </c>
      <c r="F68" s="60">
        <f t="shared" ref="F68:X68" si="42">F50-F66</f>
        <v>1367</v>
      </c>
      <c r="G68" s="60">
        <f t="shared" si="42"/>
        <v>0</v>
      </c>
      <c r="H68" s="60">
        <f t="shared" si="42"/>
        <v>0</v>
      </c>
      <c r="I68" s="60">
        <f t="shared" si="42"/>
        <v>0</v>
      </c>
      <c r="J68" s="60">
        <f t="shared" si="42"/>
        <v>0</v>
      </c>
      <c r="K68" s="60">
        <f t="shared" si="42"/>
        <v>0</v>
      </c>
      <c r="L68" s="60">
        <f t="shared" si="42"/>
        <v>0</v>
      </c>
      <c r="M68" s="60">
        <f t="shared" si="42"/>
        <v>0</v>
      </c>
      <c r="N68" s="60">
        <f t="shared" si="42"/>
        <v>0</v>
      </c>
      <c r="O68" s="60">
        <f t="shared" si="42"/>
        <v>0</v>
      </c>
      <c r="P68" s="60">
        <f t="shared" si="42"/>
        <v>0</v>
      </c>
      <c r="Q68" s="60">
        <f t="shared" si="42"/>
        <v>0</v>
      </c>
      <c r="R68" s="60">
        <f t="shared" si="42"/>
        <v>0</v>
      </c>
      <c r="S68" s="60">
        <f t="shared" si="42"/>
        <v>0</v>
      </c>
      <c r="T68" s="60">
        <f t="shared" si="42"/>
        <v>0</v>
      </c>
      <c r="U68" s="60">
        <f t="shared" si="42"/>
        <v>0</v>
      </c>
      <c r="V68" s="60">
        <f t="shared" si="42"/>
        <v>0</v>
      </c>
      <c r="W68" s="60">
        <f t="shared" si="42"/>
        <v>0</v>
      </c>
      <c r="X68" s="60">
        <f t="shared" si="42"/>
        <v>0</v>
      </c>
    </row>
    <row r="69" spans="1:24" x14ac:dyDescent="0.2">
      <c r="A69" s="5"/>
      <c r="B69" s="50"/>
      <c r="C69" s="3" t="s">
        <v>109</v>
      </c>
      <c r="D69" s="40">
        <f>D24+D25</f>
        <v>20939.759999999998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x14ac:dyDescent="0.2">
      <c r="A70" s="5"/>
      <c r="B70" s="50"/>
      <c r="C70" s="3" t="s">
        <v>110</v>
      </c>
      <c r="D70" s="40">
        <f>D24+D25</f>
        <v>20939.759999999998</v>
      </c>
      <c r="E70" s="40">
        <f t="shared" ref="E70:X70" si="43">E24+E25</f>
        <v>15536.8256</v>
      </c>
      <c r="F70" s="40">
        <f t="shared" si="43"/>
        <v>10801.472000000002</v>
      </c>
      <c r="G70" s="40">
        <f t="shared" si="43"/>
        <v>11392.475199999999</v>
      </c>
      <c r="H70" s="40">
        <f t="shared" si="43"/>
        <v>12145.793600000001</v>
      </c>
      <c r="I70" s="40">
        <f t="shared" si="43"/>
        <v>12795.4208</v>
      </c>
      <c r="J70" s="40">
        <f t="shared" si="43"/>
        <v>13386.424000000001</v>
      </c>
      <c r="K70" s="40">
        <f t="shared" si="43"/>
        <v>14081.851199999999</v>
      </c>
      <c r="L70" s="40">
        <f t="shared" si="43"/>
        <v>11973.951999999999</v>
      </c>
      <c r="M70" s="40">
        <f t="shared" si="43"/>
        <v>12481.416000000001</v>
      </c>
      <c r="N70" s="40">
        <f t="shared" si="43"/>
        <v>12999.871999999998</v>
      </c>
      <c r="O70" s="40">
        <f t="shared" si="43"/>
        <v>10535.465600000001</v>
      </c>
      <c r="P70" s="40">
        <f t="shared" si="43"/>
        <v>11117.308799999999</v>
      </c>
      <c r="Q70" s="40">
        <f t="shared" si="43"/>
        <v>11771.3328</v>
      </c>
      <c r="R70" s="40">
        <f t="shared" si="43"/>
        <v>8851.8576000000012</v>
      </c>
      <c r="S70" s="40">
        <f t="shared" si="43"/>
        <v>9496.7216000000008</v>
      </c>
      <c r="T70" s="40">
        <f t="shared" si="43"/>
        <v>10157.340799999998</v>
      </c>
      <c r="U70" s="40">
        <f t="shared" si="43"/>
        <v>11228.328</v>
      </c>
      <c r="V70" s="40">
        <f t="shared" si="43"/>
        <v>12418.7616</v>
      </c>
      <c r="W70" s="40">
        <f t="shared" si="43"/>
        <v>13305.083199999999</v>
      </c>
      <c r="X70" s="40">
        <f t="shared" si="43"/>
        <v>10789.380800000001</v>
      </c>
    </row>
    <row r="71" spans="1:24" x14ac:dyDescent="0.2">
      <c r="A71" s="5"/>
      <c r="B71" s="50"/>
      <c r="C71" s="3" t="s">
        <v>111</v>
      </c>
      <c r="D71" s="40">
        <f>IF(SUM($D31:D31)=1,D30,D24+D25)</f>
        <v>20939.759999999998</v>
      </c>
      <c r="E71" s="40">
        <f>IF(SUM($D31:E31)=1,E30,E24+E25)</f>
        <v>15536.8256</v>
      </c>
      <c r="F71" s="40">
        <f>IF(SUM($D31:F31)=1,F30,F24+F25)</f>
        <v>12456.142425904765</v>
      </c>
      <c r="G71" s="40">
        <f>IF(SUM($D31:G31)=1,G30,G24+G25)</f>
        <v>12456.142425904765</v>
      </c>
      <c r="H71" s="40">
        <f>IF(SUM($D31:H31)=1,H30,H24+H25)</f>
        <v>12456.142425904765</v>
      </c>
      <c r="I71" s="40">
        <f>IF(SUM($D31:I31)=1,I30,I24+I25)</f>
        <v>12456.142425904765</v>
      </c>
      <c r="J71" s="40">
        <f>IF(SUM($D31:J31)=1,J30,J24+J25)</f>
        <v>12456.142425904765</v>
      </c>
      <c r="K71" s="40">
        <f>IF(SUM($D31:K31)=1,K30,K24+K25)</f>
        <v>12456.142425904765</v>
      </c>
      <c r="L71" s="40">
        <f>IF(SUM($D31:L31)=1,L30,L24+L25)</f>
        <v>12456.142425904765</v>
      </c>
      <c r="M71" s="40">
        <f>IF(SUM($D31:M31)=1,M30,M24+M25)</f>
        <v>12456.142425904765</v>
      </c>
      <c r="N71" s="40">
        <f>IF(SUM($D31:N31)=1,N30,N24+N25)</f>
        <v>12456.142425904765</v>
      </c>
      <c r="O71" s="40">
        <f>IF(SUM($D31:O31)=1,O30,O24+O25)</f>
        <v>12456.142425904765</v>
      </c>
      <c r="P71" s="40">
        <f>IF(SUM($D31:P31)=1,P30,P24+P25)</f>
        <v>12456.142425904765</v>
      </c>
      <c r="Q71" s="40">
        <f>IF(SUM($D31:Q31)=1,Q30,Q24+Q25)</f>
        <v>12456.142425904765</v>
      </c>
      <c r="R71" s="40">
        <f>IF(SUM($D31:R31)=1,R30,R24+R25)</f>
        <v>12456.142425904765</v>
      </c>
      <c r="S71" s="40">
        <f>IF(SUM($D31:S31)=1,S30,S24+S25)</f>
        <v>12456.142425904765</v>
      </c>
      <c r="T71" s="40">
        <f>IF(SUM($D31:T31)=1,T30,T24+T25)</f>
        <v>12456.142425904765</v>
      </c>
      <c r="U71" s="40">
        <f>IF(SUM($D31:U31)=1,U30,U24+U25)</f>
        <v>12456.142425904765</v>
      </c>
      <c r="V71" s="40">
        <f>IF(SUM($D31:V31)=1,V30,V24+V25)</f>
        <v>12456.142425904765</v>
      </c>
      <c r="W71" s="40">
        <f>IF(SUM($D31:W31)=1,W30,W24+W25)</f>
        <v>12456.142425904765</v>
      </c>
      <c r="X71" s="40">
        <f>IF(SUM($D31:X31)=1,X30,X24+X25)</f>
        <v>12456.142425904765</v>
      </c>
    </row>
    <row r="72" spans="1:24" x14ac:dyDescent="0.2">
      <c r="A72" s="5"/>
      <c r="B72" s="50"/>
      <c r="C72" s="3" t="s">
        <v>112</v>
      </c>
      <c r="D72" s="40">
        <f t="shared" ref="D72:X72" si="44">SUM(D34:D35)</f>
        <v>20939.759999999998</v>
      </c>
      <c r="E72" s="40">
        <f t="shared" si="44"/>
        <v>21749.137600000002</v>
      </c>
      <c r="F72" s="40">
        <f t="shared" si="44"/>
        <v>22533.966400000001</v>
      </c>
      <c r="G72" s="40">
        <f t="shared" si="44"/>
        <v>23283.9872</v>
      </c>
      <c r="H72" s="40">
        <f t="shared" si="44"/>
        <v>24161.515200000002</v>
      </c>
      <c r="I72" s="40">
        <f t="shared" si="44"/>
        <v>24952.572799999998</v>
      </c>
      <c r="J72" s="40">
        <f t="shared" si="44"/>
        <v>25654.961600000002</v>
      </c>
      <c r="K72" s="40">
        <f t="shared" si="44"/>
        <v>26458.4768</v>
      </c>
      <c r="L72" s="40">
        <f t="shared" si="44"/>
        <v>27168.926400000004</v>
      </c>
      <c r="M72" s="40">
        <f t="shared" si="44"/>
        <v>27794.004800000002</v>
      </c>
      <c r="N72" s="40">
        <f t="shared" si="44"/>
        <v>28409.556799999998</v>
      </c>
      <c r="O72" s="40">
        <f t="shared" si="44"/>
        <v>29023.2768</v>
      </c>
      <c r="P72" s="40">
        <f t="shared" si="44"/>
        <v>29603.458390067615</v>
      </c>
      <c r="Q72" s="40">
        <f t="shared" si="44"/>
        <v>30153.403660949331</v>
      </c>
      <c r="R72" s="40">
        <f t="shared" si="44"/>
        <v>30713.241731831051</v>
      </c>
      <c r="S72" s="40">
        <f t="shared" si="44"/>
        <v>31218.119802712772</v>
      </c>
      <c r="T72" s="40">
        <f t="shared" si="44"/>
        <v>31697.716273594488</v>
      </c>
      <c r="U72" s="40">
        <f t="shared" si="44"/>
        <v>32175.560815537065</v>
      </c>
      <c r="V72" s="40">
        <f t="shared" si="44"/>
        <v>32646.124830212328</v>
      </c>
      <c r="W72" s="40">
        <f t="shared" si="44"/>
        <v>33072.354444887591</v>
      </c>
      <c r="X72" s="40">
        <f t="shared" si="44"/>
        <v>33512.873659562858</v>
      </c>
    </row>
    <row r="75" spans="1:24" x14ac:dyDescent="0.2">
      <c r="E75" s="51">
        <f>ROUND(E$60*((DATE(YEAR(E$22),1,1)-DATE(YEAR(D$22),MONTH($E$17),DAY($E$17)))/(365+IF(MOD(YEAR(D$22),4),0,1))),0)</f>
        <v>0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</row>
    <row r="76" spans="1:24" x14ac:dyDescent="0.2"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</row>
    <row r="78" spans="1:24" x14ac:dyDescent="0.2"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</row>
    <row r="81" spans="5:24" x14ac:dyDescent="0.2"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</row>
  </sheetData>
  <mergeCells count="14">
    <mergeCell ref="A13:B13"/>
    <mergeCell ref="A14:B14"/>
    <mergeCell ref="O14:R14"/>
    <mergeCell ref="O13:R13"/>
    <mergeCell ref="O12:S12"/>
    <mergeCell ref="C13:D13"/>
    <mergeCell ref="C15:D15"/>
    <mergeCell ref="C16:D16"/>
    <mergeCell ref="C17:D17"/>
    <mergeCell ref="J8:R8"/>
    <mergeCell ref="I7:S7"/>
    <mergeCell ref="C14:D14"/>
    <mergeCell ref="C12:E12"/>
    <mergeCell ref="K9:Q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242D-CF88-48D8-BA9E-967C6C0F4B41}">
  <sheetPr>
    <pageSetUpPr autoPageBreaks="0"/>
  </sheetPr>
  <dimension ref="A1:Z81"/>
  <sheetViews>
    <sheetView topLeftCell="A52" zoomScaleNormal="100" zoomScaleSheetLayoutView="70" workbookViewId="0"/>
  </sheetViews>
  <sheetFormatPr baseColWidth="10" defaultColWidth="8.83203125" defaultRowHeight="15" x14ac:dyDescent="0.2"/>
  <cols>
    <col min="1" max="1" width="10.83203125" customWidth="1"/>
    <col min="2" max="2" width="15.5" customWidth="1"/>
    <col min="3" max="3" width="34.5" customWidth="1"/>
    <col min="4" max="4" width="10.6640625" customWidth="1"/>
    <col min="5" max="5" width="11.5" customWidth="1"/>
    <col min="6" max="6" width="11.1640625" customWidth="1"/>
    <col min="7" max="24" width="9.6640625" customWidth="1"/>
  </cols>
  <sheetData>
    <row r="1" spans="1:24" x14ac:dyDescent="0.2">
      <c r="B1" t="s">
        <v>113</v>
      </c>
    </row>
    <row r="2" spans="1:24" x14ac:dyDescent="0.2">
      <c r="B2" t="s">
        <v>5</v>
      </c>
    </row>
    <row r="3" spans="1:24" x14ac:dyDescent="0.2">
      <c r="B3" t="s">
        <v>6</v>
      </c>
    </row>
    <row r="4" spans="1:24" x14ac:dyDescent="0.2">
      <c r="B4" t="s">
        <v>7</v>
      </c>
    </row>
    <row r="5" spans="1:24" x14ac:dyDescent="0.2">
      <c r="B5" t="s">
        <v>8</v>
      </c>
      <c r="M5" s="11"/>
    </row>
    <row r="7" spans="1:24" x14ac:dyDescent="0.2">
      <c r="A7" s="3"/>
      <c r="B7" s="3"/>
      <c r="C7" s="3"/>
      <c r="D7" s="3"/>
      <c r="E7" s="3"/>
      <c r="F7" s="3"/>
      <c r="G7" s="3"/>
      <c r="H7" s="3"/>
      <c r="I7" s="66" t="s">
        <v>9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3"/>
      <c r="U7" s="3"/>
      <c r="V7" s="3"/>
      <c r="W7" s="3"/>
      <c r="X7" s="3"/>
    </row>
    <row r="8" spans="1:24" x14ac:dyDescent="0.2">
      <c r="A8" s="3"/>
      <c r="B8" s="3"/>
      <c r="C8" s="3"/>
      <c r="D8" s="3"/>
      <c r="E8" s="3"/>
      <c r="F8" s="3"/>
      <c r="G8" s="4"/>
      <c r="H8" s="4"/>
      <c r="I8" s="4"/>
      <c r="J8" s="66" t="s">
        <v>10</v>
      </c>
      <c r="K8" s="66"/>
      <c r="L8" s="66"/>
      <c r="M8" s="66"/>
      <c r="N8" s="66"/>
      <c r="O8" s="66"/>
      <c r="P8" s="66"/>
      <c r="Q8" s="66"/>
      <c r="R8" s="66"/>
      <c r="S8" s="4"/>
      <c r="T8" s="4"/>
      <c r="U8" s="4"/>
      <c r="V8" s="3"/>
      <c r="W8" s="3"/>
      <c r="X8" s="3"/>
    </row>
    <row r="9" spans="1:24" x14ac:dyDescent="0.2">
      <c r="A9" s="8"/>
      <c r="B9" s="8"/>
      <c r="C9" s="8"/>
      <c r="D9" s="8"/>
      <c r="E9" s="13"/>
      <c r="F9" s="8"/>
      <c r="G9" s="8"/>
      <c r="H9" s="8"/>
      <c r="I9" s="13"/>
      <c r="J9" s="12"/>
      <c r="K9" s="67" t="s">
        <v>11</v>
      </c>
      <c r="L9" s="67"/>
      <c r="M9" s="67"/>
      <c r="N9" s="67"/>
      <c r="O9" s="67"/>
      <c r="P9" s="67"/>
      <c r="Q9" s="67"/>
      <c r="R9" s="12"/>
      <c r="S9" s="12"/>
      <c r="T9" s="8"/>
      <c r="U9" s="8"/>
      <c r="V9" s="12"/>
      <c r="W9" s="12"/>
      <c r="X9" s="12"/>
    </row>
    <row r="10" spans="1:24" x14ac:dyDescent="0.2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5"/>
      <c r="B12" s="3"/>
      <c r="C12" s="67" t="s">
        <v>12</v>
      </c>
      <c r="D12" s="67"/>
      <c r="E12" s="67"/>
      <c r="F12" s="3"/>
      <c r="G12" s="3"/>
      <c r="H12" s="3"/>
      <c r="I12" s="3"/>
      <c r="J12" s="3"/>
      <c r="K12" s="3"/>
      <c r="L12" s="3"/>
      <c r="M12" s="3"/>
      <c r="O12" s="67" t="s">
        <v>13</v>
      </c>
      <c r="P12" s="67"/>
      <c r="Q12" s="67"/>
      <c r="R12" s="67"/>
      <c r="S12" s="67"/>
      <c r="T12" s="3"/>
      <c r="U12" s="3"/>
      <c r="V12" s="3"/>
      <c r="W12" s="3"/>
    </row>
    <row r="13" spans="1:24" ht="17" x14ac:dyDescent="0.25">
      <c r="A13" s="68" t="s">
        <v>14</v>
      </c>
      <c r="B13" s="68"/>
      <c r="C13" s="69" t="s">
        <v>15</v>
      </c>
      <c r="D13" s="69"/>
      <c r="E13" s="15">
        <v>0.05</v>
      </c>
      <c r="F13" s="3"/>
      <c r="G13" s="40"/>
      <c r="H13" s="40"/>
      <c r="I13" s="40"/>
      <c r="J13" s="3"/>
      <c r="K13" s="3"/>
      <c r="L13" s="3"/>
      <c r="M13" s="3"/>
      <c r="N13" s="3" t="s">
        <v>16</v>
      </c>
      <c r="O13" s="65" t="s">
        <v>17</v>
      </c>
      <c r="P13" s="65"/>
      <c r="Q13" s="65"/>
      <c r="R13" s="65"/>
      <c r="S13" s="16">
        <v>0.04</v>
      </c>
      <c r="T13" s="3"/>
      <c r="U13" s="3"/>
      <c r="V13" s="3"/>
      <c r="W13" s="3"/>
      <c r="X13" s="3"/>
    </row>
    <row r="14" spans="1:24" ht="17" x14ac:dyDescent="0.25">
      <c r="A14" s="68" t="s">
        <v>18</v>
      </c>
      <c r="B14" s="68"/>
      <c r="C14" s="65" t="s">
        <v>19</v>
      </c>
      <c r="D14" s="65"/>
      <c r="E14" s="16">
        <v>0.25</v>
      </c>
      <c r="F14" s="3"/>
      <c r="G14" s="40"/>
      <c r="H14" s="40"/>
      <c r="I14" s="40"/>
      <c r="J14" s="3"/>
      <c r="K14" s="3"/>
      <c r="L14" s="3"/>
      <c r="M14" s="3"/>
      <c r="N14" s="3" t="s">
        <v>20</v>
      </c>
      <c r="O14" s="65" t="s">
        <v>21</v>
      </c>
      <c r="P14" s="65"/>
      <c r="Q14" s="65"/>
      <c r="R14" s="65"/>
      <c r="S14" s="16">
        <v>0.22</v>
      </c>
      <c r="T14" s="3"/>
      <c r="U14" s="3"/>
      <c r="V14" s="3"/>
      <c r="W14" s="3"/>
      <c r="X14" s="3"/>
    </row>
    <row r="15" spans="1:24" x14ac:dyDescent="0.2">
      <c r="A15" s="5" t="s">
        <v>22</v>
      </c>
      <c r="B15" s="3" t="s">
        <v>23</v>
      </c>
      <c r="C15" s="65" t="s">
        <v>24</v>
      </c>
      <c r="D15" s="65"/>
      <c r="E15" s="49">
        <v>0.4</v>
      </c>
      <c r="F15" s="3"/>
      <c r="G15" s="40"/>
      <c r="H15" s="40"/>
      <c r="I15" s="40"/>
      <c r="J15" s="4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5"/>
      <c r="B16" s="3" t="s">
        <v>25</v>
      </c>
      <c r="C16" s="65" t="s">
        <v>26</v>
      </c>
      <c r="D16" s="65"/>
      <c r="E16" s="16">
        <v>0.18</v>
      </c>
      <c r="F16" s="3"/>
      <c r="G16" s="40"/>
      <c r="H16" s="40"/>
      <c r="I16" s="40"/>
      <c r="J16" s="40"/>
      <c r="K16" s="40"/>
      <c r="L16" s="4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5"/>
      <c r="B17" s="3"/>
      <c r="C17" s="65" t="s">
        <v>27</v>
      </c>
      <c r="D17" s="65"/>
      <c r="E17" s="38">
        <v>44089</v>
      </c>
      <c r="F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x14ac:dyDescent="0.2">
      <c r="A18" s="5"/>
      <c r="B18" s="3"/>
      <c r="C18" s="3"/>
      <c r="D18" s="3"/>
      <c r="E18" s="16"/>
      <c r="F18" s="3"/>
      <c r="G18" s="3"/>
      <c r="H18" s="4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5"/>
      <c r="B19" s="3"/>
      <c r="C19" s="3"/>
      <c r="D19" s="3"/>
      <c r="E19" s="3" t="s">
        <v>28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6" thickBot="1" x14ac:dyDescent="0.25">
      <c r="A20" s="17"/>
      <c r="B20" s="4"/>
      <c r="C20" s="6" t="s">
        <v>29</v>
      </c>
      <c r="D20" s="7">
        <v>0</v>
      </c>
      <c r="E20" s="7">
        <f>D20+1</f>
        <v>1</v>
      </c>
      <c r="F20" s="7">
        <f t="shared" ref="F20:W20" si="0">E20+1</f>
        <v>2</v>
      </c>
      <c r="G20" s="7">
        <f t="shared" si="0"/>
        <v>3</v>
      </c>
      <c r="H20" s="7">
        <f t="shared" si="0"/>
        <v>4</v>
      </c>
      <c r="I20" s="7">
        <f t="shared" si="0"/>
        <v>5</v>
      </c>
      <c r="J20" s="7">
        <f t="shared" si="0"/>
        <v>6</v>
      </c>
      <c r="K20" s="7">
        <f t="shared" si="0"/>
        <v>7</v>
      </c>
      <c r="L20" s="7">
        <f t="shared" si="0"/>
        <v>8</v>
      </c>
      <c r="M20" s="7">
        <f>L20+1</f>
        <v>9</v>
      </c>
      <c r="N20" s="7">
        <f t="shared" si="0"/>
        <v>10</v>
      </c>
      <c r="O20" s="7">
        <f t="shared" si="0"/>
        <v>11</v>
      </c>
      <c r="P20" s="7">
        <f t="shared" si="0"/>
        <v>12</v>
      </c>
      <c r="Q20" s="7">
        <f t="shared" si="0"/>
        <v>13</v>
      </c>
      <c r="R20" s="7">
        <f t="shared" si="0"/>
        <v>14</v>
      </c>
      <c r="S20" s="7">
        <f t="shared" si="0"/>
        <v>15</v>
      </c>
      <c r="T20" s="7">
        <f t="shared" si="0"/>
        <v>16</v>
      </c>
      <c r="U20" s="7">
        <f t="shared" si="0"/>
        <v>17</v>
      </c>
      <c r="V20" s="7">
        <f t="shared" si="0"/>
        <v>18</v>
      </c>
      <c r="W20" s="7">
        <f t="shared" si="0"/>
        <v>19</v>
      </c>
      <c r="X20" s="7">
        <f>W20+1</f>
        <v>20</v>
      </c>
    </row>
    <row r="21" spans="1:24" ht="17" thickTop="1" thickBot="1" x14ac:dyDescent="0.25">
      <c r="A21" s="17"/>
      <c r="B21" s="4"/>
      <c r="C21" s="6" t="s">
        <v>30</v>
      </c>
      <c r="D21" s="7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P21" s="7">
        <v>12</v>
      </c>
      <c r="Q21" s="7">
        <v>13</v>
      </c>
      <c r="R21" s="7">
        <v>14</v>
      </c>
      <c r="S21" s="7">
        <v>15</v>
      </c>
      <c r="T21" s="7">
        <v>16</v>
      </c>
      <c r="U21" s="7">
        <v>17</v>
      </c>
      <c r="V21" s="7">
        <v>18</v>
      </c>
      <c r="W21" s="7">
        <v>19</v>
      </c>
      <c r="X21" s="7">
        <v>20</v>
      </c>
    </row>
    <row r="22" spans="1:24" ht="17" thickTop="1" thickBot="1" x14ac:dyDescent="0.25">
      <c r="A22" s="17" t="s">
        <v>31</v>
      </c>
      <c r="B22" s="4" t="s">
        <v>32</v>
      </c>
      <c r="C22" s="6" t="s">
        <v>33</v>
      </c>
      <c r="D22" s="58">
        <v>44089</v>
      </c>
      <c r="E22" s="58">
        <v>44454</v>
      </c>
      <c r="F22" s="58">
        <v>44819</v>
      </c>
      <c r="G22" s="58">
        <v>45184</v>
      </c>
      <c r="H22" s="58">
        <v>45550</v>
      </c>
      <c r="I22" s="58">
        <v>45915</v>
      </c>
      <c r="J22" s="58">
        <v>46280</v>
      </c>
      <c r="K22" s="58">
        <v>46645</v>
      </c>
      <c r="L22" s="58">
        <v>47011</v>
      </c>
      <c r="M22" s="58">
        <v>47376</v>
      </c>
      <c r="N22" s="58">
        <v>47741</v>
      </c>
      <c r="O22" s="58">
        <v>48106</v>
      </c>
      <c r="P22" s="58">
        <v>48472</v>
      </c>
      <c r="Q22" s="58">
        <v>48837</v>
      </c>
      <c r="R22" s="58">
        <v>49202</v>
      </c>
      <c r="S22" s="58">
        <v>49567</v>
      </c>
      <c r="T22" s="58">
        <v>49933</v>
      </c>
      <c r="U22" s="58">
        <v>50298</v>
      </c>
      <c r="V22" s="58">
        <v>50663</v>
      </c>
      <c r="W22" s="58">
        <v>51028</v>
      </c>
      <c r="X22" s="58">
        <v>51394</v>
      </c>
    </row>
    <row r="23" spans="1:24" ht="16" thickTop="1" x14ac:dyDescent="0.2">
      <c r="A23" s="17"/>
      <c r="B23" s="52"/>
      <c r="C23" s="18" t="s">
        <v>34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7" x14ac:dyDescent="0.25">
      <c r="A24" s="5">
        <v>1</v>
      </c>
      <c r="B24" s="53" t="s">
        <v>35</v>
      </c>
      <c r="C24" s="20" t="s">
        <v>36</v>
      </c>
      <c r="D24" s="14">
        <v>17434.411200000002</v>
      </c>
      <c r="E24" s="14">
        <v>12823.267200000002</v>
      </c>
      <c r="F24" s="14">
        <v>9928.3407999999999</v>
      </c>
      <c r="G24" s="14">
        <v>10540.228799999999</v>
      </c>
      <c r="H24" s="14">
        <v>11408.9632</v>
      </c>
      <c r="I24" s="14">
        <v>12099.9936</v>
      </c>
      <c r="J24" s="14">
        <v>12717.011199999999</v>
      </c>
      <c r="K24" s="14">
        <v>13491.947199999999</v>
      </c>
      <c r="L24" s="14">
        <v>11938.044800000001</v>
      </c>
      <c r="M24" s="14">
        <v>12474.088</v>
      </c>
      <c r="N24" s="14">
        <v>13011.963200000002</v>
      </c>
      <c r="O24" s="14">
        <v>10834.081600000001</v>
      </c>
      <c r="P24" s="14">
        <v>11409.696</v>
      </c>
      <c r="Q24" s="14">
        <v>12036.239999999998</v>
      </c>
      <c r="R24" s="14">
        <v>9950.3248000000021</v>
      </c>
      <c r="S24" s="14">
        <v>10557.4496</v>
      </c>
      <c r="T24" s="14">
        <v>11175.9328</v>
      </c>
      <c r="U24" s="14">
        <v>12168.510400000001</v>
      </c>
      <c r="V24" s="14">
        <v>13173.1792</v>
      </c>
      <c r="W24" s="14">
        <v>13940.787200000001</v>
      </c>
      <c r="X24" s="14">
        <v>11910.5648</v>
      </c>
    </row>
    <row r="25" spans="1:24" ht="17" x14ac:dyDescent="0.25">
      <c r="A25" s="5">
        <v>2</v>
      </c>
      <c r="B25" s="53" t="s">
        <v>37</v>
      </c>
      <c r="C25" s="20" t="s">
        <v>38</v>
      </c>
      <c r="D25" s="14">
        <v>1324.5360000000003</v>
      </c>
      <c r="E25" s="14">
        <v>839.42239999999993</v>
      </c>
      <c r="F25" s="14">
        <v>542.27200000000005</v>
      </c>
      <c r="G25" s="14">
        <v>597.96479999999997</v>
      </c>
      <c r="H25" s="14">
        <v>665.01600000000008</v>
      </c>
      <c r="I25" s="14">
        <v>737.19679999999994</v>
      </c>
      <c r="J25" s="14">
        <v>800.95040000000006</v>
      </c>
      <c r="K25" s="14">
        <v>872.76480000000004</v>
      </c>
      <c r="L25" s="14">
        <v>730.23520000000008</v>
      </c>
      <c r="M25" s="14">
        <v>797.65280000000007</v>
      </c>
      <c r="N25" s="14">
        <v>868.36800000000017</v>
      </c>
      <c r="O25" s="14">
        <v>660.25279999999998</v>
      </c>
      <c r="P25" s="14">
        <v>728.03679999999997</v>
      </c>
      <c r="Q25" s="14">
        <v>795.82079999999996</v>
      </c>
      <c r="R25" s="14">
        <v>588.072</v>
      </c>
      <c r="S25" s="14">
        <v>649.26080000000002</v>
      </c>
      <c r="T25" s="14">
        <v>705.68640000000005</v>
      </c>
      <c r="U25" s="14">
        <v>768.70720000000006</v>
      </c>
      <c r="V25" s="14">
        <v>839.78880000000004</v>
      </c>
      <c r="W25" s="14">
        <v>909.03839999999991</v>
      </c>
      <c r="X25" s="14">
        <v>697.99200000000008</v>
      </c>
    </row>
    <row r="26" spans="1:24" ht="17" x14ac:dyDescent="0.25">
      <c r="A26" s="5">
        <v>3</v>
      </c>
      <c r="B26" s="53" t="s">
        <v>39</v>
      </c>
      <c r="C26" s="20" t="s">
        <v>40</v>
      </c>
      <c r="D26" s="14"/>
      <c r="E26" s="14">
        <v>801.09695999999997</v>
      </c>
      <c r="F26" s="14">
        <v>515.37824000000012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317.15584000000001</v>
      </c>
      <c r="M26" s="14">
        <v>0</v>
      </c>
      <c r="N26" s="14">
        <v>0</v>
      </c>
      <c r="O26" s="14">
        <v>396.44480000000004</v>
      </c>
      <c r="P26" s="14">
        <v>0</v>
      </c>
      <c r="Q26" s="14">
        <v>0</v>
      </c>
      <c r="R26" s="14">
        <v>396.44480000000004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396.44480000000004</v>
      </c>
    </row>
    <row r="27" spans="1:24" ht="17" x14ac:dyDescent="0.25">
      <c r="A27" s="5">
        <v>3</v>
      </c>
      <c r="B27" s="53" t="s">
        <v>41</v>
      </c>
      <c r="C27" s="20" t="s">
        <v>42</v>
      </c>
      <c r="D27" s="14"/>
      <c r="E27" s="14">
        <f>AVERAGE(E26:X26)</f>
        <v>141.14827200000002</v>
      </c>
      <c r="F27" s="14">
        <f>E27</f>
        <v>141.14827200000002</v>
      </c>
      <c r="G27" s="14">
        <f t="shared" ref="G27:W27" si="1">F27</f>
        <v>141.14827200000002</v>
      </c>
      <c r="H27" s="14">
        <f t="shared" si="1"/>
        <v>141.14827200000002</v>
      </c>
      <c r="I27" s="14">
        <f t="shared" si="1"/>
        <v>141.14827200000002</v>
      </c>
      <c r="J27" s="14">
        <f t="shared" si="1"/>
        <v>141.14827200000002</v>
      </c>
      <c r="K27" s="14">
        <f t="shared" si="1"/>
        <v>141.14827200000002</v>
      </c>
      <c r="L27" s="14">
        <f t="shared" si="1"/>
        <v>141.14827200000002</v>
      </c>
      <c r="M27" s="14">
        <f t="shared" si="1"/>
        <v>141.14827200000002</v>
      </c>
      <c r="N27" s="14">
        <f t="shared" si="1"/>
        <v>141.14827200000002</v>
      </c>
      <c r="O27" s="14">
        <f t="shared" si="1"/>
        <v>141.14827200000002</v>
      </c>
      <c r="P27" s="14">
        <f t="shared" si="1"/>
        <v>141.14827200000002</v>
      </c>
      <c r="Q27" s="14">
        <f t="shared" si="1"/>
        <v>141.14827200000002</v>
      </c>
      <c r="R27" s="14">
        <f t="shared" si="1"/>
        <v>141.14827200000002</v>
      </c>
      <c r="S27" s="14">
        <f t="shared" si="1"/>
        <v>141.14827200000002</v>
      </c>
      <c r="T27" s="14">
        <f t="shared" si="1"/>
        <v>141.14827200000002</v>
      </c>
      <c r="U27" s="14">
        <f t="shared" si="1"/>
        <v>141.14827200000002</v>
      </c>
      <c r="V27" s="14">
        <f t="shared" si="1"/>
        <v>141.14827200000002</v>
      </c>
      <c r="W27" s="14">
        <f t="shared" si="1"/>
        <v>141.14827200000002</v>
      </c>
      <c r="X27" s="14">
        <f>W27</f>
        <v>141.14827200000002</v>
      </c>
    </row>
    <row r="28" spans="1:24" ht="17" x14ac:dyDescent="0.25">
      <c r="A28" s="5">
        <v>4</v>
      </c>
      <c r="B28" s="53" t="s">
        <v>43</v>
      </c>
      <c r="C28" s="20" t="s">
        <v>44</v>
      </c>
      <c r="D28" s="1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</row>
    <row r="29" spans="1:24" ht="17" x14ac:dyDescent="0.25">
      <c r="A29" s="5">
        <v>4</v>
      </c>
      <c r="B29" s="53" t="s">
        <v>45</v>
      </c>
      <c r="C29" s="20" t="s">
        <v>46</v>
      </c>
      <c r="D29" s="14"/>
      <c r="E29" s="14">
        <f>AVERAGE(E28:X28)</f>
        <v>0</v>
      </c>
      <c r="F29" s="14">
        <f>E29</f>
        <v>0</v>
      </c>
      <c r="G29" s="14">
        <f>F29</f>
        <v>0</v>
      </c>
      <c r="H29" s="14">
        <f t="shared" ref="H29:X30" si="2">G29</f>
        <v>0</v>
      </c>
      <c r="I29" s="14">
        <f t="shared" si="2"/>
        <v>0</v>
      </c>
      <c r="J29" s="14">
        <f t="shared" si="2"/>
        <v>0</v>
      </c>
      <c r="K29" s="14">
        <f t="shared" si="2"/>
        <v>0</v>
      </c>
      <c r="L29" s="14">
        <f t="shared" si="2"/>
        <v>0</v>
      </c>
      <c r="M29" s="14">
        <f t="shared" si="2"/>
        <v>0</v>
      </c>
      <c r="N29" s="14">
        <f t="shared" si="2"/>
        <v>0</v>
      </c>
      <c r="O29" s="14">
        <f t="shared" si="2"/>
        <v>0</v>
      </c>
      <c r="P29" s="14">
        <f t="shared" si="2"/>
        <v>0</v>
      </c>
      <c r="Q29" s="14">
        <f t="shared" si="2"/>
        <v>0</v>
      </c>
      <c r="R29" s="14">
        <f t="shared" si="2"/>
        <v>0</v>
      </c>
      <c r="S29" s="14">
        <f t="shared" si="2"/>
        <v>0</v>
      </c>
      <c r="T29" s="14">
        <f t="shared" si="2"/>
        <v>0</v>
      </c>
      <c r="U29" s="14">
        <f t="shared" si="2"/>
        <v>0</v>
      </c>
      <c r="V29" s="14">
        <f t="shared" si="2"/>
        <v>0</v>
      </c>
      <c r="W29" s="14">
        <f t="shared" si="2"/>
        <v>0</v>
      </c>
      <c r="X29" s="14">
        <f t="shared" si="2"/>
        <v>0</v>
      </c>
    </row>
    <row r="30" spans="1:24" ht="17" x14ac:dyDescent="0.25">
      <c r="A30" s="9">
        <v>5</v>
      </c>
      <c r="B30" s="53" t="s">
        <v>47</v>
      </c>
      <c r="C30" s="20" t="s">
        <v>48</v>
      </c>
      <c r="D30" s="14"/>
      <c r="E30" s="14">
        <f>(SUM(D24:X25)/21)+E27</f>
        <v>13052.770214857144</v>
      </c>
      <c r="F30" s="14">
        <f>E30</f>
        <v>13052.770214857144</v>
      </c>
      <c r="G30" s="14">
        <f>F30</f>
        <v>13052.770214857144</v>
      </c>
      <c r="H30" s="14">
        <f t="shared" si="2"/>
        <v>13052.770214857144</v>
      </c>
      <c r="I30" s="14">
        <f t="shared" si="2"/>
        <v>13052.770214857144</v>
      </c>
      <c r="J30" s="14">
        <f t="shared" si="2"/>
        <v>13052.770214857144</v>
      </c>
      <c r="K30" s="14">
        <f t="shared" si="2"/>
        <v>13052.770214857144</v>
      </c>
      <c r="L30" s="14">
        <f t="shared" si="2"/>
        <v>13052.770214857144</v>
      </c>
      <c r="M30" s="14">
        <f t="shared" si="2"/>
        <v>13052.770214857144</v>
      </c>
      <c r="N30" s="14">
        <f t="shared" si="2"/>
        <v>13052.770214857144</v>
      </c>
      <c r="O30" s="14">
        <f t="shared" si="2"/>
        <v>13052.770214857144</v>
      </c>
      <c r="P30" s="14">
        <f t="shared" si="2"/>
        <v>13052.770214857144</v>
      </c>
      <c r="Q30" s="14">
        <f t="shared" si="2"/>
        <v>13052.770214857144</v>
      </c>
      <c r="R30" s="14">
        <f t="shared" si="2"/>
        <v>13052.770214857144</v>
      </c>
      <c r="S30" s="14">
        <f t="shared" si="2"/>
        <v>13052.770214857144</v>
      </c>
      <c r="T30" s="14">
        <f t="shared" si="2"/>
        <v>13052.770214857144</v>
      </c>
      <c r="U30" s="14">
        <f t="shared" si="2"/>
        <v>13052.770214857144</v>
      </c>
      <c r="V30" s="14">
        <f t="shared" si="2"/>
        <v>13052.770214857144</v>
      </c>
      <c r="W30" s="14">
        <f t="shared" si="2"/>
        <v>13052.770214857144</v>
      </c>
      <c r="X30" s="14">
        <f>W30</f>
        <v>13052.770214857144</v>
      </c>
    </row>
    <row r="31" spans="1:24" x14ac:dyDescent="0.2">
      <c r="A31" s="5" t="s">
        <v>49</v>
      </c>
      <c r="B31" s="53" t="s">
        <v>50</v>
      </c>
      <c r="C31" s="20" t="s">
        <v>51</v>
      </c>
      <c r="D31" s="21"/>
      <c r="E31" s="21">
        <f>IF(SUM($D31:D31)=0,(IF($D$24+$D$25&gt;$E$30, IF((E24+E25)&lt;=E30,1,0),IF((E24+E25)&gt;=E30,1,0))),0)</f>
        <v>0</v>
      </c>
      <c r="F31" s="21">
        <f>IF(SUM($D31:E31)=0,(IF($D$24+$D$25&gt;$E$30, IF((F24+F25)&lt;=F30,1,0),IF((F24+F25)&gt;=F30,1,0))),0)</f>
        <v>1</v>
      </c>
      <c r="G31" s="21">
        <f>IF(SUM($D31:F31)=0,(IF($D$24+$D$25&gt;$E$30, IF((G24+G25)&lt;=G30,1,0),IF((G24+G25)&gt;=G30,1,0))),0)</f>
        <v>0</v>
      </c>
      <c r="H31" s="21">
        <f>IF(SUM($D31:G31)=0,(IF($D$24+$D$25&gt;$E$30, IF((H24+H25)&lt;=H30,1,0),IF((H24+H25)&gt;=H30,1,0))),0)</f>
        <v>0</v>
      </c>
      <c r="I31" s="21">
        <f>IF(SUM($D31:H31)=0,(IF($D$24+$D$25&gt;$E$30, IF((I24+I25)&lt;=I30,1,0),IF((I24+I25)&gt;=I30,1,0))),0)</f>
        <v>0</v>
      </c>
      <c r="J31" s="21">
        <f>IF(SUM($D31:I31)=0,(IF($D$24+$D$25&gt;$E$30, IF((J24+J25)&lt;=J30,1,0),IF((J24+J25)&gt;=J30,1,0))),0)</f>
        <v>0</v>
      </c>
      <c r="K31" s="21">
        <f>IF(SUM($D31:J31)=0,(IF($D$24+$D$25&gt;$E$30, IF((K24+K25)&lt;=K30,1,0),IF((K24+K25)&gt;=K30,1,0))),0)</f>
        <v>0</v>
      </c>
      <c r="L31" s="21">
        <f>IF(SUM($D31:K31)=0,(IF($D$24+$D$25&gt;$E$30, IF((L24+L25)&lt;=L30,1,0),IF((L24+L25)&gt;=L30,1,0))),0)</f>
        <v>0</v>
      </c>
      <c r="M31" s="21">
        <f>IF(SUM($D31:L31)=0,(IF($D$24+$D$25&gt;$E$30, IF((M24+M25)&lt;=M30,1,0),IF((M24+M25)&gt;=M30,1,0))),0)</f>
        <v>0</v>
      </c>
      <c r="N31" s="21">
        <f>IF(SUM($D31:M31)=0,(IF($D$24+$D$25&gt;$E$30, IF((N24+N25)&lt;=N30,1,0),IF((N24+N25)&gt;=N30,1,0))),0)</f>
        <v>0</v>
      </c>
      <c r="O31" s="21">
        <f>IF(SUM($D31:N31)=0,(IF($D$24+$D$25&gt;$E$30, IF((O24+O25)&lt;=O30,1,0),IF((O24+O25)&gt;=O30,1,0))),0)</f>
        <v>0</v>
      </c>
      <c r="P31" s="21">
        <f>IF(SUM($D31:O31)=0,(IF($D$24+$D$25&gt;$E$30, IF((P24+P25)&lt;=P30,1,0),IF((P24+P25)&gt;=P30,1,0))),0)</f>
        <v>0</v>
      </c>
      <c r="Q31" s="21">
        <f>IF(SUM($D31:P31)=0,(IF($D$24+$D$25&gt;$E$30, IF((Q24+Q25)&lt;=Q30,1,0),IF((Q24+Q25)&gt;=Q30,1,0))),0)</f>
        <v>0</v>
      </c>
      <c r="R31" s="21">
        <f>IF(SUM($D31:Q31)=0,(IF($D$24+$D$25&gt;$E$30, IF((R24+R25)&lt;=R30,1,0),IF((R24+R25)&gt;=R30,1,0))),0)</f>
        <v>0</v>
      </c>
      <c r="S31" s="21">
        <f>IF(SUM($D31:R31)=0,(IF($D$24+$D$25&gt;$E$30, IF((S24+S25)&lt;=S30,1,0),IF((S24+S25)&gt;=S30,1,0))),0)</f>
        <v>0</v>
      </c>
      <c r="T31" s="21">
        <f>IF(SUM($D31:S31)=0,(IF($D$24+$D$25&gt;$E$30, IF((T24+T25)&lt;=T30,1,0),IF((T24+T25)&gt;=T30,1,0))),0)</f>
        <v>0</v>
      </c>
      <c r="U31" s="21">
        <f>IF(SUM($D31:T31)=0,(IF($D$24+$D$25&gt;$E$30, IF((U24+U25)&lt;=U30,1,0),IF((U24+U25)&gt;=U30,1,0))),0)</f>
        <v>0</v>
      </c>
      <c r="V31" s="21">
        <f>IF(SUM($D31:U31)=0,(IF($D$24+$D$25&gt;$E$30, IF((V24+V25)&lt;=V30,1,0),IF((V24+V25)&gt;=V30,1,0))),0)</f>
        <v>0</v>
      </c>
      <c r="W31" s="21">
        <f>IF(SUM($D31:V31)=0,(IF($D$24+$D$25&gt;$E$30, IF((W24+W25)&lt;=W30,1,0),IF((W24+W25)&gt;=W30,1,0))),0)</f>
        <v>0</v>
      </c>
      <c r="X31" s="21">
        <f>IF(SUM($D31:W31)=0,(IF($D$24+$D$25&gt;$E$30, IF((X24+X25)&lt;=X30,1,0),IF((X24+X25)&gt;=X30,1,0))),0)</f>
        <v>0</v>
      </c>
    </row>
    <row r="32" spans="1:24" ht="17" x14ac:dyDescent="0.25">
      <c r="A32" s="5" t="s">
        <v>52</v>
      </c>
      <c r="B32" s="54" t="s">
        <v>53</v>
      </c>
      <c r="C32" s="20" t="s">
        <v>54</v>
      </c>
      <c r="D32" s="10"/>
      <c r="E32" s="10">
        <f>IF(E31=1,E30-(D24+D25+SUM($D27:D27)-SUM($D29:D29)),IF(SUM($D31:D31)=1,0,((E24-D24)+(E25-D25)+E27-E29)))</f>
        <v>-4955.1093280000005</v>
      </c>
      <c r="F32" s="10">
        <f>IF(F31=1,F30-(E24+E25+SUM($D27:E27)-SUM($D29:E29)),IF(SUM($D31:E31)=1,0,((F24-E24)+(F25-E25)+F27-F29)))</f>
        <v>-751.06765714285757</v>
      </c>
      <c r="G32" s="10">
        <f>IF(G31=1,G30-(F24+F25+SUM($D27:F27)-SUM($D29:F29)),IF(SUM($D31:F31)=1,0,((G24-F24)+(G25-F25)+G27-G29)))</f>
        <v>0</v>
      </c>
      <c r="H32" s="10">
        <f>IF(H31=1,H30-(G24+G25+SUM($D27:G27)-SUM($D29:G29)),IF(SUM($D31:G31)=1,0,((H24-G24)+(H25-G25)+H27-H29)))</f>
        <v>0</v>
      </c>
      <c r="I32" s="10">
        <f>IF(I31=1,I30-(H24+H25+SUM($D27:H27)-SUM($D29:H29)),IF(SUM($D31:H31)=1,0,((I24-H24)+(I25-H25)+I27-I29)))</f>
        <v>0</v>
      </c>
      <c r="J32" s="10">
        <f>IF(J31=1,J30-(I24+I25+SUM($D27:I27)-SUM($D29:I29)),IF(SUM($D31:I31)=1,0,((J24-I24)+(J25-I25)+J27-J29)))</f>
        <v>0</v>
      </c>
      <c r="K32" s="10">
        <f>IF(K31=1,K30-(J24+J25+SUM($D27:J27)-SUM($D29:J29)),IF(SUM($D31:J31)=1,0,((K24-J24)+(K25-J25)+K27-K29)))</f>
        <v>0</v>
      </c>
      <c r="L32" s="10">
        <f>IF(L31=1,L30-(K24+K25+SUM($D27:K27)-SUM($D29:K29)),IF(SUM($D31:K31)=1,0,((L24-K24)+(L25-K25)+L27-L29)))</f>
        <v>0</v>
      </c>
      <c r="M32" s="10">
        <f>IF(M31=1,M30-(L24+L25+SUM($D27:L27)-SUM($D29:L29)),IF(SUM($D31:L31)=1,0,((M24-L24)+(M25-L25)+M27-M29)))</f>
        <v>0</v>
      </c>
      <c r="N32" s="10">
        <f>IF(N31=1,N30-(M24+M25+SUM($D27:M27)-SUM($D29:M29)),IF(SUM($D31:M31)=1,0,((N24-M24)+(N25-M25)+N27-N29)))</f>
        <v>0</v>
      </c>
      <c r="O32" s="10">
        <f>IF(O31=1,O30-(N24+N25+SUM($D27:N27)-SUM($D29:N29)),IF(SUM($D31:N31)=1,0,((O24-N24)+(O25-N25)+O27-O29)))</f>
        <v>0</v>
      </c>
      <c r="P32" s="10">
        <f>IF(P31=1,P30-(O24+O25+SUM($D27:O27)-SUM($D29:O29)),IF(SUM($D31:O31)=1,0,((P24-O24)+(P25-O25)+P27-P29)))</f>
        <v>0</v>
      </c>
      <c r="Q32" s="10">
        <f>IF(Q31=1,Q30-(P24+P25+SUM($D27:P27)-SUM($D29:P29)),IF(SUM($D31:P31)=1,0,((Q24-P24)+(Q25-P25)+Q27-Q29)))</f>
        <v>0</v>
      </c>
      <c r="R32" s="10">
        <f>IF(R31=1,R30-(Q24+Q25+SUM($D27:Q27)-SUM($D29:Q29)),IF(SUM($D31:Q31)=1,0,((R24-Q24)+(R25-Q25)+R27-R29)))</f>
        <v>0</v>
      </c>
      <c r="S32" s="10">
        <f>IF(S31=1,S30-(R24+R25+SUM($D27:R27)-SUM($D29:R29)),IF(SUM($D31:R31)=1,0,((S24-R24)+(S25-R25)+S27-S29)))</f>
        <v>0</v>
      </c>
      <c r="T32" s="10">
        <f>IF(T31=1,T30-(S24+S25+SUM($D27:S27)-SUM($D29:S29)),IF(SUM($D31:S31)=1,0,((T24-S24)+(T25-S25)+T27-T29)))</f>
        <v>0</v>
      </c>
      <c r="U32" s="10">
        <f>IF(U31=1,U30-(T24+T25+SUM($D27:T27)-SUM($D29:T29)),IF(SUM($D31:T31)=1,0,((U24-T24)+(U25-T25)+U27-U29)))</f>
        <v>0</v>
      </c>
      <c r="V32" s="10">
        <f>IF(V31=1,V30-(U24+U25+SUM($D27:U27)-SUM($D29:U29)),IF(SUM($D31:U31)=1,0,((V24-U24)+(V25-U25)+V27-V29)))</f>
        <v>0</v>
      </c>
      <c r="W32" s="10">
        <f>IF(W31=1,W30-(V24+V25+SUM($D27:V27)-SUM($D29:V29)),IF(SUM($D31:V31)=1,0,((W24-V24)+(W25-V25)+W27-W29)))</f>
        <v>0</v>
      </c>
      <c r="X32" s="10">
        <f>IF(X31=1,X30-(W24+W25+SUM($D27:W27)-SUM($D29:W29)),IF(SUM($D31:W31)=1,0,((X24-W24)+(X25-W25)+X27-X29)))</f>
        <v>0</v>
      </c>
    </row>
    <row r="33" spans="1:26" x14ac:dyDescent="0.2">
      <c r="A33" s="5"/>
      <c r="B33" s="53"/>
      <c r="C33" s="30" t="s">
        <v>55</v>
      </c>
      <c r="D33" s="31"/>
      <c r="E33" s="31"/>
      <c r="F33" s="31"/>
      <c r="G33" s="31"/>
      <c r="H33" s="31"/>
      <c r="I33" s="33"/>
      <c r="J33" s="31"/>
      <c r="K33" s="31"/>
      <c r="L33" s="31"/>
      <c r="M33" s="31"/>
      <c r="N33" s="31"/>
      <c r="O33" s="31"/>
      <c r="P33" s="31"/>
      <c r="Q33" s="31"/>
      <c r="R33" s="31"/>
      <c r="S33" s="33"/>
      <c r="T33" s="31"/>
      <c r="U33" s="31"/>
      <c r="V33" s="31"/>
      <c r="W33" s="31"/>
      <c r="X33" s="31"/>
    </row>
    <row r="34" spans="1:26" ht="17" x14ac:dyDescent="0.25">
      <c r="A34" s="5">
        <v>14</v>
      </c>
      <c r="B34" s="54" t="s">
        <v>56</v>
      </c>
      <c r="C34" s="32" t="s">
        <v>57</v>
      </c>
      <c r="D34" s="34">
        <v>17434.411200000002</v>
      </c>
      <c r="E34" s="34">
        <v>18185.164799999999</v>
      </c>
      <c r="F34" s="34">
        <v>18908.438399999999</v>
      </c>
      <c r="G34" s="34">
        <v>17862</v>
      </c>
      <c r="H34" s="34">
        <v>18810.243200000004</v>
      </c>
      <c r="I34" s="34">
        <v>19580.049599999998</v>
      </c>
      <c r="J34" s="34">
        <v>20250.195200000002</v>
      </c>
      <c r="K34" s="34">
        <v>21084.8544</v>
      </c>
      <c r="L34" s="34">
        <v>21772.220799999999</v>
      </c>
      <c r="M34" s="34">
        <v>22376.7808</v>
      </c>
      <c r="N34" s="34">
        <v>22975.844799999999</v>
      </c>
      <c r="O34" s="34">
        <v>23555.489600000001</v>
      </c>
      <c r="P34" s="34">
        <v>24092.632000000001</v>
      </c>
      <c r="Q34" s="34">
        <v>22280.784000000003</v>
      </c>
      <c r="R34" s="34">
        <v>22798.873599999999</v>
      </c>
      <c r="S34" s="34">
        <v>23272.262400000003</v>
      </c>
      <c r="T34" s="34">
        <v>23750.048000000003</v>
      </c>
      <c r="U34" s="34">
        <v>24208.048000000003</v>
      </c>
      <c r="V34" s="34">
        <v>24652.857599999999</v>
      </c>
      <c r="W34" s="34">
        <v>22252.2048</v>
      </c>
      <c r="X34" s="34">
        <v>22697.380799999999</v>
      </c>
      <c r="Z34" s="1"/>
    </row>
    <row r="35" spans="1:26" ht="17" x14ac:dyDescent="0.25">
      <c r="A35" s="5">
        <v>15</v>
      </c>
      <c r="B35" s="54" t="s">
        <v>58</v>
      </c>
      <c r="C35" s="32" t="s">
        <v>59</v>
      </c>
      <c r="D35" s="34">
        <v>1324.5360000000003</v>
      </c>
      <c r="E35" s="34">
        <v>1411.0064000000002</v>
      </c>
      <c r="F35" s="34">
        <v>1496.0112000000001</v>
      </c>
      <c r="G35" s="34">
        <v>1387.5568000000001</v>
      </c>
      <c r="H35" s="34">
        <v>1454.2416000000001</v>
      </c>
      <c r="I35" s="34">
        <v>1540.3455999999999</v>
      </c>
      <c r="J35" s="34">
        <v>1627.1824000000001</v>
      </c>
      <c r="K35" s="34">
        <v>1712.9200000000003</v>
      </c>
      <c r="L35" s="34">
        <v>1810.0160000000001</v>
      </c>
      <c r="M35" s="34">
        <v>1897.2192</v>
      </c>
      <c r="N35" s="34">
        <v>1974.1632</v>
      </c>
      <c r="O35" s="34">
        <v>2063.5647999999997</v>
      </c>
      <c r="P35" s="34">
        <v>2162.4774280811343</v>
      </c>
      <c r="Q35" s="34">
        <v>1990.6837531391968</v>
      </c>
      <c r="R35" s="34">
        <v>2073.17167819726</v>
      </c>
      <c r="S35" s="34">
        <v>2160.056403255322</v>
      </c>
      <c r="T35" s="34">
        <v>2229.7203283133854</v>
      </c>
      <c r="U35" s="34">
        <v>2308.1778533714478</v>
      </c>
      <c r="V35" s="34">
        <v>2387.0017784295101</v>
      </c>
      <c r="W35" s="34">
        <v>2149.256103487573</v>
      </c>
      <c r="X35" s="34">
        <v>2216.7216285456357</v>
      </c>
      <c r="Z35" s="1"/>
    </row>
    <row r="36" spans="1:26" ht="17" x14ac:dyDescent="0.25">
      <c r="A36" s="5">
        <v>17</v>
      </c>
      <c r="B36" s="54" t="s">
        <v>60</v>
      </c>
      <c r="C36" s="32" t="s">
        <v>61</v>
      </c>
      <c r="D36" s="34"/>
      <c r="E36" s="34">
        <v>0</v>
      </c>
      <c r="F36" s="34">
        <v>0</v>
      </c>
      <c r="G36" s="34">
        <v>272.60160000000002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363.46880000000004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454.33600000000001</v>
      </c>
      <c r="X36" s="34">
        <v>0</v>
      </c>
      <c r="Z36" s="1"/>
    </row>
    <row r="37" spans="1:26" ht="16" x14ac:dyDescent="0.25">
      <c r="A37" s="5">
        <v>16</v>
      </c>
      <c r="B37" s="55" t="s">
        <v>62</v>
      </c>
      <c r="C37" s="32" t="s">
        <v>63</v>
      </c>
      <c r="D37" s="34"/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</row>
    <row r="38" spans="1:26" ht="17" x14ac:dyDescent="0.25">
      <c r="A38" s="5">
        <v>17</v>
      </c>
      <c r="B38" s="56" t="s">
        <v>64</v>
      </c>
      <c r="C38" s="35" t="s">
        <v>65</v>
      </c>
      <c r="D38" s="36"/>
      <c r="E38" s="36">
        <f>(E34-D34)+(E35-D35)+E36-E37</f>
        <v>837.22399999999629</v>
      </c>
      <c r="F38" s="36">
        <f t="shared" ref="F38:X38" si="3">(F34-E34)+(F35-E35)+F36-F37</f>
        <v>808.27840000000037</v>
      </c>
      <c r="G38" s="36">
        <f t="shared" si="3"/>
        <v>-882.29119999999921</v>
      </c>
      <c r="H38" s="36">
        <f t="shared" si="3"/>
        <v>1014.9280000000044</v>
      </c>
      <c r="I38" s="36">
        <f t="shared" si="3"/>
        <v>855.91039999999384</v>
      </c>
      <c r="J38" s="36">
        <f t="shared" si="3"/>
        <v>756.98240000000374</v>
      </c>
      <c r="K38" s="36">
        <f t="shared" si="3"/>
        <v>920.39679999999839</v>
      </c>
      <c r="L38" s="36">
        <f t="shared" si="3"/>
        <v>784.46239999999875</v>
      </c>
      <c r="M38" s="36">
        <f t="shared" si="3"/>
        <v>691.76320000000123</v>
      </c>
      <c r="N38" s="36">
        <f t="shared" si="3"/>
        <v>676.00799999999845</v>
      </c>
      <c r="O38" s="36">
        <f t="shared" si="3"/>
        <v>669.04640000000154</v>
      </c>
      <c r="P38" s="36">
        <f t="shared" si="3"/>
        <v>636.05502808113533</v>
      </c>
      <c r="Q38" s="36">
        <f t="shared" si="3"/>
        <v>-1620.1728749419356</v>
      </c>
      <c r="R38" s="36">
        <f t="shared" si="3"/>
        <v>600.57752505805888</v>
      </c>
      <c r="S38" s="36">
        <f t="shared" si="3"/>
        <v>560.2735250580663</v>
      </c>
      <c r="T38" s="36">
        <f t="shared" si="3"/>
        <v>547.44952505806259</v>
      </c>
      <c r="U38" s="36">
        <f t="shared" si="3"/>
        <v>536.4575250580624</v>
      </c>
      <c r="V38" s="36">
        <f t="shared" si="3"/>
        <v>523.63352505805915</v>
      </c>
      <c r="W38" s="36">
        <f t="shared" si="3"/>
        <v>-2184.0624749419367</v>
      </c>
      <c r="X38" s="36">
        <f t="shared" si="3"/>
        <v>512.64152505806214</v>
      </c>
      <c r="Z38" s="1"/>
    </row>
    <row r="39" spans="1:26" x14ac:dyDescent="0.2">
      <c r="A39" s="5"/>
      <c r="B39" s="56"/>
      <c r="C39" s="25" t="s">
        <v>66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6" ht="17" x14ac:dyDescent="0.25">
      <c r="A40" s="5">
        <v>13</v>
      </c>
      <c r="B40" s="56" t="s">
        <v>67</v>
      </c>
      <c r="C40" s="27" t="s">
        <v>68</v>
      </c>
      <c r="D40" s="28">
        <f>SQRT((($D$24*($E$13^2))+($D$25*($E$14^2))+($E$27*($E$13^2))+($E$29*($E$13^2)))/SUM($D$24:$D$25, $E$27, $E$29))</f>
        <v>8.188317867518187E-2</v>
      </c>
      <c r="E40" s="28">
        <f>SQRT((($D$24*($E$13^2))+($D$25*($E$14^2))+($E$27*($E$13^2))+($E$29*($E$13^2)))/SUM($D$24:$D$25, $E$27, $E$29))</f>
        <v>8.188317867518187E-2</v>
      </c>
      <c r="F40" s="28">
        <f t="shared" ref="F40:X40" si="4">SQRT((($D$24*($E$13^2))+($D$25*($E$14^2))+($E$27*($E$13^2))+($E$29*($E$13^2)))/SUM($D$24:$D$25, $E$27, $E$29))</f>
        <v>8.188317867518187E-2</v>
      </c>
      <c r="G40" s="28">
        <f t="shared" si="4"/>
        <v>8.188317867518187E-2</v>
      </c>
      <c r="H40" s="28">
        <f t="shared" si="4"/>
        <v>8.188317867518187E-2</v>
      </c>
      <c r="I40" s="28">
        <f t="shared" si="4"/>
        <v>8.188317867518187E-2</v>
      </c>
      <c r="J40" s="28">
        <f t="shared" si="4"/>
        <v>8.188317867518187E-2</v>
      </c>
      <c r="K40" s="28">
        <f t="shared" si="4"/>
        <v>8.188317867518187E-2</v>
      </c>
      <c r="L40" s="28">
        <f t="shared" si="4"/>
        <v>8.188317867518187E-2</v>
      </c>
      <c r="M40" s="28">
        <f t="shared" si="4"/>
        <v>8.188317867518187E-2</v>
      </c>
      <c r="N40" s="28">
        <f t="shared" si="4"/>
        <v>8.188317867518187E-2</v>
      </c>
      <c r="O40" s="28">
        <f t="shared" si="4"/>
        <v>8.188317867518187E-2</v>
      </c>
      <c r="P40" s="28">
        <f t="shared" si="4"/>
        <v>8.188317867518187E-2</v>
      </c>
      <c r="Q40" s="28">
        <f t="shared" si="4"/>
        <v>8.188317867518187E-2</v>
      </c>
      <c r="R40" s="28">
        <f t="shared" si="4"/>
        <v>8.188317867518187E-2</v>
      </c>
      <c r="S40" s="28">
        <f t="shared" si="4"/>
        <v>8.188317867518187E-2</v>
      </c>
      <c r="T40" s="28">
        <f t="shared" si="4"/>
        <v>8.188317867518187E-2</v>
      </c>
      <c r="U40" s="28">
        <f t="shared" si="4"/>
        <v>8.188317867518187E-2</v>
      </c>
      <c r="V40" s="28">
        <f t="shared" si="4"/>
        <v>8.188317867518187E-2</v>
      </c>
      <c r="W40" s="28">
        <f t="shared" si="4"/>
        <v>8.188317867518187E-2</v>
      </c>
      <c r="X40" s="28">
        <f t="shared" si="4"/>
        <v>8.188317867518187E-2</v>
      </c>
    </row>
    <row r="41" spans="1:26" ht="17" x14ac:dyDescent="0.25">
      <c r="A41" s="5">
        <v>21</v>
      </c>
      <c r="B41" s="56" t="s">
        <v>69</v>
      </c>
      <c r="C41" s="27" t="s">
        <v>70</v>
      </c>
      <c r="D41" s="28">
        <f>SQRT(((D$34*($E$13^2))+(D$35*($E$14^2))+(D$36*($E$13^2))+(D$37*($E$13^2)))/SUM(D$34:D$37))</f>
        <v>8.2076145213038354E-2</v>
      </c>
      <c r="E41" s="28">
        <f>SQRT(((E$34*($E$13^2))+(E$35*($E$14^2))+(E$36*($E$13^2))+(E$37*($E$13^2)))/SUM(E$34:E$37))</f>
        <v>8.2584812736991531E-2</v>
      </c>
      <c r="F41" s="28">
        <f t="shared" ref="F41:N41" si="5">SQRT(((F$34*($E$13^2))+(F$35*($E$14^2))+(F$36*($E$13^2))+(F$37*($E$13^2)))/SUM(F$34:F$37))</f>
        <v>8.306066111963975E-2</v>
      </c>
      <c r="G41" s="28">
        <f t="shared" si="5"/>
        <v>8.2246942794894348E-2</v>
      </c>
      <c r="H41" s="28">
        <f t="shared" si="5"/>
        <v>8.2497176181762819E-2</v>
      </c>
      <c r="I41" s="28">
        <f t="shared" si="5"/>
        <v>8.2921046398437392E-2</v>
      </c>
      <c r="J41" s="28">
        <f t="shared" si="5"/>
        <v>8.3442458152545557E-2</v>
      </c>
      <c r="K41" s="28">
        <f t="shared" si="5"/>
        <v>8.3714540354269812E-2</v>
      </c>
      <c r="L41" s="28">
        <f t="shared" si="5"/>
        <v>8.4292359245456513E-2</v>
      </c>
      <c r="M41" s="28">
        <f t="shared" si="5"/>
        <v>8.479097495584223E-2</v>
      </c>
      <c r="N41" s="28">
        <f t="shared" si="5"/>
        <v>8.5132162729880723E-2</v>
      </c>
      <c r="O41" s="28">
        <f>SQRT(((O$34*($S$13^2))+(O$35*($S$14^2))+(O$36*($S$13^2))+(O$37*($S$13^2)))/SUM(O$34:O$37))</f>
        <v>7.3277886182830515E-2</v>
      </c>
      <c r="P41" s="28">
        <f>SQRT(((P$34*($S$13^2))+(P$35*($S$14^2))+(P$36*($S$13^2))+(P$37*($S$13^2)))/SUM(P$34:P$37))</f>
        <v>7.3855521414212283E-2</v>
      </c>
      <c r="Q41" s="28">
        <f t="shared" ref="Q41:X41" si="6">SQRT(((Q$34*($S$13^2))+(Q$35*($S$14^2))+(Q$36*($S$13^2))+(Q$37*($S$13^2)))/SUM(Q$34:Q$37))</f>
        <v>7.336064084020831E-2</v>
      </c>
      <c r="R41" s="28">
        <f t="shared" si="6"/>
        <v>7.4168343283254612E-2</v>
      </c>
      <c r="S41" s="28">
        <f>SQRT(((S$34*($S$13^2))+(S$35*($S$14^2))+(S$36*($S$13^2))+(S$37*($S$13^2)))/SUM(S$34:S$37))</f>
        <v>7.4665178093862541E-2</v>
      </c>
      <c r="T41" s="28">
        <f t="shared" si="6"/>
        <v>7.4944126455463222E-2</v>
      </c>
      <c r="U41" s="28">
        <f t="shared" si="6"/>
        <v>7.5324861738433876E-2</v>
      </c>
      <c r="V41" s="28">
        <f t="shared" si="6"/>
        <v>7.5705816930394174E-2</v>
      </c>
      <c r="W41" s="28">
        <f>SQRT(((W$34*($S$13^2))+(W$35*($S$14^2))+(W$36*($S$13^2))+(W$37*($S$13^2)))/SUM(W$34:W$37))</f>
        <v>7.5144857299286383E-2</v>
      </c>
      <c r="X41" s="28">
        <f t="shared" si="6"/>
        <v>7.5921077590979075E-2</v>
      </c>
    </row>
    <row r="42" spans="1:26" ht="17" x14ac:dyDescent="0.25">
      <c r="A42" s="5">
        <v>22</v>
      </c>
      <c r="B42" s="56" t="s">
        <v>71</v>
      </c>
      <c r="C42" s="27" t="s">
        <v>72</v>
      </c>
      <c r="D42" s="29"/>
      <c r="E42" s="28">
        <f>SQRT(((ABS(E$32)*(E$40^2))+(ABS(E$38)*(E$41^2)))/(ABS(E$32)+ABS(E$38)))</f>
        <v>8.1984964111970982E-2</v>
      </c>
      <c r="F42" s="28">
        <f t="shared" ref="F42:X42" si="7">SQRT(((ABS(F$32)*(F$40^2))+(ABS(F$38)*(F$41^2)))/(ABS(F$32)+ABS(F$38)))</f>
        <v>8.2495618199409218E-2</v>
      </c>
      <c r="G42" s="28">
        <f t="shared" si="7"/>
        <v>8.2246942794894348E-2</v>
      </c>
      <c r="H42" s="28">
        <f t="shared" si="7"/>
        <v>8.2497176181762819E-2</v>
      </c>
      <c r="I42" s="28">
        <f t="shared" si="7"/>
        <v>8.2921046398437392E-2</v>
      </c>
      <c r="J42" s="28">
        <f t="shared" si="7"/>
        <v>8.3442458152545557E-2</v>
      </c>
      <c r="K42" s="28">
        <f t="shared" si="7"/>
        <v>8.3714540354269812E-2</v>
      </c>
      <c r="L42" s="28">
        <f t="shared" si="7"/>
        <v>8.4292359245456513E-2</v>
      </c>
      <c r="M42" s="28">
        <f t="shared" si="7"/>
        <v>8.479097495584223E-2</v>
      </c>
      <c r="N42" s="28">
        <f t="shared" si="7"/>
        <v>8.5132162729880723E-2</v>
      </c>
      <c r="O42" s="28">
        <f t="shared" si="7"/>
        <v>7.3277886182830515E-2</v>
      </c>
      <c r="P42" s="28">
        <f t="shared" si="7"/>
        <v>7.3855521414212283E-2</v>
      </c>
      <c r="Q42" s="28">
        <f t="shared" si="7"/>
        <v>7.336064084020831E-2</v>
      </c>
      <c r="R42" s="28">
        <f t="shared" si="7"/>
        <v>7.4168343283254612E-2</v>
      </c>
      <c r="S42" s="28">
        <f t="shared" si="7"/>
        <v>7.4665178093862541E-2</v>
      </c>
      <c r="T42" s="28">
        <f t="shared" si="7"/>
        <v>7.4944126455463222E-2</v>
      </c>
      <c r="U42" s="28">
        <f t="shared" si="7"/>
        <v>7.5324861738433876E-2</v>
      </c>
      <c r="V42" s="28">
        <f t="shared" si="7"/>
        <v>7.5705816930394174E-2</v>
      </c>
      <c r="W42" s="28">
        <f t="shared" si="7"/>
        <v>7.5144857299286383E-2</v>
      </c>
      <c r="X42" s="28">
        <f t="shared" si="7"/>
        <v>7.5921077590979075E-2</v>
      </c>
    </row>
    <row r="43" spans="1:26" ht="17" x14ac:dyDescent="0.25">
      <c r="A43" s="5">
        <v>23</v>
      </c>
      <c r="B43" s="56" t="s">
        <v>73</v>
      </c>
      <c r="C43" s="27" t="s">
        <v>74</v>
      </c>
      <c r="D43" s="29"/>
      <c r="E43" s="28">
        <f>IF(E42&lt;=10%,0%,E42-10%)</f>
        <v>0</v>
      </c>
      <c r="F43" s="28">
        <f t="shared" ref="F43:X43" si="8">IF(F42&lt;=10%,0%,F42-10%)</f>
        <v>0</v>
      </c>
      <c r="G43" s="28">
        <f t="shared" si="8"/>
        <v>0</v>
      </c>
      <c r="H43" s="28">
        <f t="shared" si="8"/>
        <v>0</v>
      </c>
      <c r="I43" s="28">
        <f t="shared" si="8"/>
        <v>0</v>
      </c>
      <c r="J43" s="28">
        <f t="shared" si="8"/>
        <v>0</v>
      </c>
      <c r="K43" s="28">
        <f t="shared" si="8"/>
        <v>0</v>
      </c>
      <c r="L43" s="28">
        <f t="shared" si="8"/>
        <v>0</v>
      </c>
      <c r="M43" s="28">
        <f t="shared" si="8"/>
        <v>0</v>
      </c>
      <c r="N43" s="28">
        <f t="shared" si="8"/>
        <v>0</v>
      </c>
      <c r="O43" s="28">
        <f t="shared" si="8"/>
        <v>0</v>
      </c>
      <c r="P43" s="28">
        <f t="shared" si="8"/>
        <v>0</v>
      </c>
      <c r="Q43" s="28">
        <f t="shared" si="8"/>
        <v>0</v>
      </c>
      <c r="R43" s="28">
        <f t="shared" si="8"/>
        <v>0</v>
      </c>
      <c r="S43" s="28">
        <f t="shared" si="8"/>
        <v>0</v>
      </c>
      <c r="T43" s="28">
        <f t="shared" si="8"/>
        <v>0</v>
      </c>
      <c r="U43" s="28">
        <f t="shared" si="8"/>
        <v>0</v>
      </c>
      <c r="V43" s="28">
        <f t="shared" si="8"/>
        <v>0</v>
      </c>
      <c r="W43" s="28">
        <f t="shared" si="8"/>
        <v>0</v>
      </c>
      <c r="X43" s="28">
        <f t="shared" si="8"/>
        <v>0</v>
      </c>
    </row>
    <row r="44" spans="1:26" x14ac:dyDescent="0.2">
      <c r="A44" s="3"/>
      <c r="B44" s="53"/>
      <c r="C44" s="22" t="s">
        <v>75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7" x14ac:dyDescent="0.25">
      <c r="A45" s="5">
        <v>24</v>
      </c>
      <c r="B45" s="53" t="s">
        <v>76</v>
      </c>
      <c r="C45" s="24" t="s">
        <v>77</v>
      </c>
      <c r="D45" s="37"/>
      <c r="E45" s="39">
        <f>ROUNDDOWN((E$38-E$32)*(1-$E$15)*(1-E43),0)</f>
        <v>3475</v>
      </c>
      <c r="F45" s="39">
        <f>ROUNDDOWN((F$38-F$32)*(1-$E$15)*(1-F43),0)</f>
        <v>935</v>
      </c>
      <c r="G45" s="39">
        <f t="shared" ref="G45:X45" si="9">ROUNDDOWN((G$38-G$32)*(1-$E$15)*(1-G43),0)</f>
        <v>-529</v>
      </c>
      <c r="H45" s="39">
        <f t="shared" si="9"/>
        <v>608</v>
      </c>
      <c r="I45" s="39">
        <f t="shared" si="9"/>
        <v>513</v>
      </c>
      <c r="J45" s="39">
        <f t="shared" si="9"/>
        <v>454</v>
      </c>
      <c r="K45" s="39">
        <f t="shared" si="9"/>
        <v>552</v>
      </c>
      <c r="L45" s="39">
        <f t="shared" si="9"/>
        <v>470</v>
      </c>
      <c r="M45" s="39">
        <f t="shared" si="9"/>
        <v>415</v>
      </c>
      <c r="N45" s="39">
        <f t="shared" si="9"/>
        <v>405</v>
      </c>
      <c r="O45" s="39">
        <f t="shared" si="9"/>
        <v>401</v>
      </c>
      <c r="P45" s="39">
        <f t="shared" si="9"/>
        <v>381</v>
      </c>
      <c r="Q45" s="39">
        <f t="shared" si="9"/>
        <v>-972</v>
      </c>
      <c r="R45" s="39">
        <f t="shared" si="9"/>
        <v>360</v>
      </c>
      <c r="S45" s="39">
        <f t="shared" si="9"/>
        <v>336</v>
      </c>
      <c r="T45" s="39">
        <f t="shared" si="9"/>
        <v>328</v>
      </c>
      <c r="U45" s="39">
        <f t="shared" si="9"/>
        <v>321</v>
      </c>
      <c r="V45" s="39">
        <f t="shared" si="9"/>
        <v>314</v>
      </c>
      <c r="W45" s="39">
        <f t="shared" si="9"/>
        <v>-1310</v>
      </c>
      <c r="X45" s="39">
        <f t="shared" si="9"/>
        <v>307</v>
      </c>
    </row>
    <row r="46" spans="1:26" ht="17" x14ac:dyDescent="0.25">
      <c r="A46" s="5">
        <v>24</v>
      </c>
      <c r="B46" s="53" t="s">
        <v>78</v>
      </c>
      <c r="C46" s="24" t="s">
        <v>79</v>
      </c>
      <c r="D46" s="37"/>
      <c r="E46" s="39">
        <f>IF(E45&lt;0,0,IF(E45+D59&lt;0,0,E45+D59))</f>
        <v>3475</v>
      </c>
      <c r="F46" s="39">
        <f>IF(F45&lt;0,0,IF(F45+E59&lt;0,0,F45+E59))</f>
        <v>935</v>
      </c>
      <c r="G46" s="39">
        <f>IF(G45&lt;0,0,IF(G45+F59&lt;0,0,G45+F59))</f>
        <v>0</v>
      </c>
      <c r="H46" s="39">
        <f>IF(H45&lt;0,0,IF(H45+G59&lt;0,0,H45+G59))</f>
        <v>608</v>
      </c>
      <c r="I46" s="39">
        <f>IF(I45&lt;0,0,IF(I45+H59&lt;0,0,I45+H59))</f>
        <v>513</v>
      </c>
      <c r="J46" s="39">
        <f t="shared" ref="J46:X46" si="10">IF(J45&lt;0,0,IF(J45+I59&lt;0,0,J45+I59))</f>
        <v>454</v>
      </c>
      <c r="K46" s="39">
        <f t="shared" si="10"/>
        <v>552</v>
      </c>
      <c r="L46" s="39">
        <f t="shared" si="10"/>
        <v>470</v>
      </c>
      <c r="M46" s="39">
        <f t="shared" si="10"/>
        <v>415</v>
      </c>
      <c r="N46" s="39">
        <f t="shared" si="10"/>
        <v>405</v>
      </c>
      <c r="O46" s="39">
        <f t="shared" si="10"/>
        <v>401</v>
      </c>
      <c r="P46" s="39">
        <f t="shared" si="10"/>
        <v>381</v>
      </c>
      <c r="Q46" s="39">
        <f t="shared" si="10"/>
        <v>0</v>
      </c>
      <c r="R46" s="39">
        <f t="shared" si="10"/>
        <v>360</v>
      </c>
      <c r="S46" s="39">
        <f t="shared" si="10"/>
        <v>336</v>
      </c>
      <c r="T46" s="39">
        <f t="shared" si="10"/>
        <v>328</v>
      </c>
      <c r="U46" s="39">
        <f t="shared" si="10"/>
        <v>321</v>
      </c>
      <c r="V46" s="39">
        <f t="shared" si="10"/>
        <v>314</v>
      </c>
      <c r="W46" s="39">
        <f t="shared" si="10"/>
        <v>0</v>
      </c>
      <c r="X46" s="39">
        <f t="shared" si="10"/>
        <v>307</v>
      </c>
    </row>
    <row r="47" spans="1:26" ht="17" x14ac:dyDescent="0.25">
      <c r="A47" s="5">
        <v>24</v>
      </c>
      <c r="B47" s="53" t="s">
        <v>80</v>
      </c>
      <c r="C47" s="24" t="s">
        <v>81</v>
      </c>
      <c r="D47" s="37"/>
      <c r="E47" s="39">
        <f>ROUNDUP(E46*$E$16,0)</f>
        <v>626</v>
      </c>
      <c r="F47" s="39">
        <f t="shared" ref="F47:X47" si="11">ROUNDUP(F46*$E$16,0)</f>
        <v>169</v>
      </c>
      <c r="G47" s="39">
        <f t="shared" si="11"/>
        <v>0</v>
      </c>
      <c r="H47" s="39">
        <f t="shared" si="11"/>
        <v>110</v>
      </c>
      <c r="I47" s="39">
        <f t="shared" si="11"/>
        <v>93</v>
      </c>
      <c r="J47" s="39">
        <f t="shared" si="11"/>
        <v>82</v>
      </c>
      <c r="K47" s="39">
        <f t="shared" si="11"/>
        <v>100</v>
      </c>
      <c r="L47" s="39">
        <f t="shared" si="11"/>
        <v>85</v>
      </c>
      <c r="M47" s="39">
        <f t="shared" si="11"/>
        <v>75</v>
      </c>
      <c r="N47" s="39">
        <f t="shared" si="11"/>
        <v>73</v>
      </c>
      <c r="O47" s="39">
        <f t="shared" si="11"/>
        <v>73</v>
      </c>
      <c r="P47" s="39">
        <f t="shared" si="11"/>
        <v>69</v>
      </c>
      <c r="Q47" s="39">
        <f t="shared" si="11"/>
        <v>0</v>
      </c>
      <c r="R47" s="39">
        <f t="shared" si="11"/>
        <v>65</v>
      </c>
      <c r="S47" s="39">
        <f t="shared" si="11"/>
        <v>61</v>
      </c>
      <c r="T47" s="39">
        <f t="shared" si="11"/>
        <v>60</v>
      </c>
      <c r="U47" s="39">
        <f t="shared" si="11"/>
        <v>58</v>
      </c>
      <c r="V47" s="39">
        <f t="shared" si="11"/>
        <v>57</v>
      </c>
      <c r="W47" s="39">
        <f t="shared" si="11"/>
        <v>0</v>
      </c>
      <c r="X47" s="39">
        <f t="shared" si="11"/>
        <v>56</v>
      </c>
    </row>
    <row r="48" spans="1:26" ht="17" x14ac:dyDescent="0.25">
      <c r="A48" s="5">
        <v>24</v>
      </c>
      <c r="B48" s="53" t="s">
        <v>82</v>
      </c>
      <c r="C48" s="24" t="s">
        <v>83</v>
      </c>
      <c r="D48" s="24"/>
      <c r="E48" s="39">
        <f>E46-E47</f>
        <v>2849</v>
      </c>
      <c r="F48" s="39">
        <f t="shared" ref="F48:X48" si="12">F46-F47</f>
        <v>766</v>
      </c>
      <c r="G48" s="39">
        <f t="shared" si="12"/>
        <v>0</v>
      </c>
      <c r="H48" s="39">
        <f t="shared" si="12"/>
        <v>498</v>
      </c>
      <c r="I48" s="39">
        <f t="shared" si="12"/>
        <v>420</v>
      </c>
      <c r="J48" s="39">
        <f t="shared" si="12"/>
        <v>372</v>
      </c>
      <c r="K48" s="39">
        <f t="shared" si="12"/>
        <v>452</v>
      </c>
      <c r="L48" s="39">
        <f t="shared" si="12"/>
        <v>385</v>
      </c>
      <c r="M48" s="39">
        <f t="shared" si="12"/>
        <v>340</v>
      </c>
      <c r="N48" s="39">
        <f t="shared" si="12"/>
        <v>332</v>
      </c>
      <c r="O48" s="39">
        <f t="shared" si="12"/>
        <v>328</v>
      </c>
      <c r="P48" s="39">
        <f t="shared" si="12"/>
        <v>312</v>
      </c>
      <c r="Q48" s="39">
        <f t="shared" si="12"/>
        <v>0</v>
      </c>
      <c r="R48" s="39">
        <f t="shared" si="12"/>
        <v>295</v>
      </c>
      <c r="S48" s="39">
        <f t="shared" si="12"/>
        <v>275</v>
      </c>
      <c r="T48" s="39">
        <f t="shared" si="12"/>
        <v>268</v>
      </c>
      <c r="U48" s="39">
        <f t="shared" si="12"/>
        <v>263</v>
      </c>
      <c r="V48" s="39">
        <f t="shared" si="12"/>
        <v>257</v>
      </c>
      <c r="W48" s="39">
        <f t="shared" si="12"/>
        <v>0</v>
      </c>
      <c r="X48" s="39">
        <f t="shared" si="12"/>
        <v>251</v>
      </c>
    </row>
    <row r="49" spans="1:24" ht="17" x14ac:dyDescent="0.25">
      <c r="A49" s="5">
        <v>25</v>
      </c>
      <c r="B49" s="53" t="s">
        <v>84</v>
      </c>
      <c r="C49" s="24" t="s">
        <v>85</v>
      </c>
      <c r="D49" s="24"/>
      <c r="E49" s="39">
        <f t="shared" ref="E49:X49" si="13">ROUND(E$46*((DATE(YEAR(E$22),1,1)-DATE(YEAR(D$22),MONTH($E$17),DAY($E$17)))/(365+IF(MOD(YEAR(D$22),4),0,1))),0)</f>
        <v>1025</v>
      </c>
      <c r="F49" s="39">
        <f t="shared" si="13"/>
        <v>277</v>
      </c>
      <c r="G49" s="39">
        <f t="shared" si="13"/>
        <v>0</v>
      </c>
      <c r="H49" s="39">
        <f t="shared" si="13"/>
        <v>180</v>
      </c>
      <c r="I49" s="39">
        <f t="shared" si="13"/>
        <v>151</v>
      </c>
      <c r="J49" s="39">
        <f t="shared" si="13"/>
        <v>134</v>
      </c>
      <c r="K49" s="39">
        <f t="shared" si="13"/>
        <v>163</v>
      </c>
      <c r="L49" s="39">
        <f t="shared" si="13"/>
        <v>139</v>
      </c>
      <c r="M49" s="39">
        <f t="shared" si="13"/>
        <v>122</v>
      </c>
      <c r="N49" s="39">
        <f t="shared" si="13"/>
        <v>120</v>
      </c>
      <c r="O49" s="39">
        <f t="shared" si="13"/>
        <v>119</v>
      </c>
      <c r="P49" s="39">
        <f t="shared" si="13"/>
        <v>113</v>
      </c>
      <c r="Q49" s="39">
        <f t="shared" si="13"/>
        <v>0</v>
      </c>
      <c r="R49" s="39">
        <f t="shared" si="13"/>
        <v>107</v>
      </c>
      <c r="S49" s="39">
        <f t="shared" si="13"/>
        <v>99</v>
      </c>
      <c r="T49" s="39">
        <f t="shared" si="13"/>
        <v>97</v>
      </c>
      <c r="U49" s="39">
        <f t="shared" si="13"/>
        <v>95</v>
      </c>
      <c r="V49" s="39">
        <f t="shared" si="13"/>
        <v>93</v>
      </c>
      <c r="W49" s="39">
        <f t="shared" si="13"/>
        <v>0</v>
      </c>
      <c r="X49" s="39">
        <f t="shared" si="13"/>
        <v>91</v>
      </c>
    </row>
    <row r="50" spans="1:24" ht="17" x14ac:dyDescent="0.25">
      <c r="A50" s="5">
        <v>25</v>
      </c>
      <c r="B50" s="53" t="s">
        <v>84</v>
      </c>
      <c r="C50" s="24" t="s">
        <v>86</v>
      </c>
      <c r="D50" s="24"/>
      <c r="E50" s="39">
        <f t="shared" ref="E50:X50" si="14">ROUND(E$46*((DATE(YEAR(D$22),MONTH($E$17),DAY($E$17))-(DATE(YEAR(D$22),1,1)))/(365+IF(MOD(YEAR(D$22),4),0,1))),0)</f>
        <v>2450</v>
      </c>
      <c r="F50" s="39">
        <f t="shared" si="14"/>
        <v>658</v>
      </c>
      <c r="G50" s="39">
        <f t="shared" si="14"/>
        <v>0</v>
      </c>
      <c r="H50" s="39">
        <f t="shared" si="14"/>
        <v>428</v>
      </c>
      <c r="I50" s="39">
        <f t="shared" si="14"/>
        <v>362</v>
      </c>
      <c r="J50" s="39">
        <f t="shared" si="14"/>
        <v>320</v>
      </c>
      <c r="K50" s="39">
        <f t="shared" si="14"/>
        <v>389</v>
      </c>
      <c r="L50" s="39">
        <f t="shared" si="14"/>
        <v>331</v>
      </c>
      <c r="M50" s="39">
        <f t="shared" si="14"/>
        <v>293</v>
      </c>
      <c r="N50" s="39">
        <f t="shared" si="14"/>
        <v>285</v>
      </c>
      <c r="O50" s="39">
        <f t="shared" si="14"/>
        <v>282</v>
      </c>
      <c r="P50" s="39">
        <f t="shared" si="14"/>
        <v>268</v>
      </c>
      <c r="Q50" s="39">
        <f t="shared" si="14"/>
        <v>0</v>
      </c>
      <c r="R50" s="39">
        <f t="shared" si="14"/>
        <v>253</v>
      </c>
      <c r="S50" s="39">
        <f t="shared" si="14"/>
        <v>237</v>
      </c>
      <c r="T50" s="39">
        <f t="shared" si="14"/>
        <v>231</v>
      </c>
      <c r="U50" s="39">
        <f t="shared" si="14"/>
        <v>226</v>
      </c>
      <c r="V50" s="39">
        <f t="shared" si="14"/>
        <v>221</v>
      </c>
      <c r="W50" s="39">
        <f t="shared" si="14"/>
        <v>0</v>
      </c>
      <c r="X50" s="39">
        <f t="shared" si="14"/>
        <v>216</v>
      </c>
    </row>
    <row r="51" spans="1:24" ht="17" x14ac:dyDescent="0.25">
      <c r="A51" s="5">
        <v>26</v>
      </c>
      <c r="B51" s="53" t="s">
        <v>87</v>
      </c>
      <c r="C51" s="24" t="s">
        <v>88</v>
      </c>
      <c r="D51" s="24"/>
      <c r="E51" s="39">
        <f>IF(E$46&gt;0,ROUND((E49/E$46)*E$47,0),0)</f>
        <v>185</v>
      </c>
      <c r="F51" s="39">
        <f t="shared" ref="F51:X52" si="15">IF(F$46&gt;0,ROUND((F49/F$46)*F$47,0),0)</f>
        <v>50</v>
      </c>
      <c r="G51" s="39">
        <f t="shared" si="15"/>
        <v>0</v>
      </c>
      <c r="H51" s="39">
        <f t="shared" si="15"/>
        <v>33</v>
      </c>
      <c r="I51" s="39">
        <f t="shared" si="15"/>
        <v>27</v>
      </c>
      <c r="J51" s="39">
        <f t="shared" si="15"/>
        <v>24</v>
      </c>
      <c r="K51" s="39">
        <f t="shared" si="15"/>
        <v>30</v>
      </c>
      <c r="L51" s="39">
        <f t="shared" si="15"/>
        <v>25</v>
      </c>
      <c r="M51" s="39">
        <f t="shared" si="15"/>
        <v>22</v>
      </c>
      <c r="N51" s="39">
        <f t="shared" si="15"/>
        <v>22</v>
      </c>
      <c r="O51" s="39">
        <f t="shared" si="15"/>
        <v>22</v>
      </c>
      <c r="P51" s="39">
        <f t="shared" si="15"/>
        <v>20</v>
      </c>
      <c r="Q51" s="39">
        <f t="shared" si="15"/>
        <v>0</v>
      </c>
      <c r="R51" s="39">
        <f t="shared" si="15"/>
        <v>19</v>
      </c>
      <c r="S51" s="39">
        <f t="shared" si="15"/>
        <v>18</v>
      </c>
      <c r="T51" s="39">
        <f t="shared" si="15"/>
        <v>18</v>
      </c>
      <c r="U51" s="39">
        <f t="shared" si="15"/>
        <v>17</v>
      </c>
      <c r="V51" s="39">
        <f t="shared" si="15"/>
        <v>17</v>
      </c>
      <c r="W51" s="39">
        <f t="shared" si="15"/>
        <v>0</v>
      </c>
      <c r="X51" s="39">
        <f t="shared" si="15"/>
        <v>17</v>
      </c>
    </row>
    <row r="52" spans="1:24" ht="17" x14ac:dyDescent="0.25">
      <c r="A52" s="5">
        <v>26</v>
      </c>
      <c r="B52" s="53" t="s">
        <v>87</v>
      </c>
      <c r="C52" s="24" t="s">
        <v>89</v>
      </c>
      <c r="D52" s="37"/>
      <c r="E52" s="39">
        <f>IF(E$46&gt;0,ROUND((E50/E$46)*E$47,0),0)</f>
        <v>441</v>
      </c>
      <c r="F52" s="39">
        <f t="shared" si="15"/>
        <v>119</v>
      </c>
      <c r="G52" s="39">
        <f t="shared" si="15"/>
        <v>0</v>
      </c>
      <c r="H52" s="39">
        <f t="shared" si="15"/>
        <v>77</v>
      </c>
      <c r="I52" s="39">
        <f t="shared" si="15"/>
        <v>66</v>
      </c>
      <c r="J52" s="39">
        <f t="shared" si="15"/>
        <v>58</v>
      </c>
      <c r="K52" s="39">
        <f t="shared" si="15"/>
        <v>70</v>
      </c>
      <c r="L52" s="39">
        <f t="shared" si="15"/>
        <v>60</v>
      </c>
      <c r="M52" s="39">
        <f t="shared" si="15"/>
        <v>53</v>
      </c>
      <c r="N52" s="39">
        <f t="shared" si="15"/>
        <v>51</v>
      </c>
      <c r="O52" s="39">
        <f t="shared" si="15"/>
        <v>51</v>
      </c>
      <c r="P52" s="39">
        <f t="shared" si="15"/>
        <v>49</v>
      </c>
      <c r="Q52" s="39">
        <f t="shared" si="15"/>
        <v>0</v>
      </c>
      <c r="R52" s="39">
        <f t="shared" si="15"/>
        <v>46</v>
      </c>
      <c r="S52" s="39">
        <f t="shared" si="15"/>
        <v>43</v>
      </c>
      <c r="T52" s="39">
        <f t="shared" si="15"/>
        <v>42</v>
      </c>
      <c r="U52" s="39">
        <f t="shared" si="15"/>
        <v>41</v>
      </c>
      <c r="V52" s="39">
        <f t="shared" si="15"/>
        <v>40</v>
      </c>
      <c r="W52" s="39">
        <f t="shared" si="15"/>
        <v>0</v>
      </c>
      <c r="X52" s="39">
        <f t="shared" si="15"/>
        <v>39</v>
      </c>
    </row>
    <row r="53" spans="1:24" ht="17" x14ac:dyDescent="0.25">
      <c r="A53" s="5">
        <v>27</v>
      </c>
      <c r="B53" s="53" t="s">
        <v>90</v>
      </c>
      <c r="C53" s="24" t="s">
        <v>91</v>
      </c>
      <c r="D53" s="24"/>
      <c r="E53" s="39">
        <f>E49-E51</f>
        <v>840</v>
      </c>
      <c r="F53" s="39">
        <f t="shared" ref="F53:X54" si="16">F49-F51</f>
        <v>227</v>
      </c>
      <c r="G53" s="39">
        <f t="shared" si="16"/>
        <v>0</v>
      </c>
      <c r="H53" s="39">
        <f t="shared" si="16"/>
        <v>147</v>
      </c>
      <c r="I53" s="39">
        <f t="shared" si="16"/>
        <v>124</v>
      </c>
      <c r="J53" s="39">
        <f t="shared" si="16"/>
        <v>110</v>
      </c>
      <c r="K53" s="39">
        <f t="shared" si="16"/>
        <v>133</v>
      </c>
      <c r="L53" s="39">
        <f t="shared" si="16"/>
        <v>114</v>
      </c>
      <c r="M53" s="39">
        <f t="shared" si="16"/>
        <v>100</v>
      </c>
      <c r="N53" s="39">
        <f t="shared" si="16"/>
        <v>98</v>
      </c>
      <c r="O53" s="39">
        <f t="shared" si="16"/>
        <v>97</v>
      </c>
      <c r="P53" s="39">
        <f t="shared" si="16"/>
        <v>93</v>
      </c>
      <c r="Q53" s="39">
        <f t="shared" si="16"/>
        <v>0</v>
      </c>
      <c r="R53" s="39">
        <f t="shared" si="16"/>
        <v>88</v>
      </c>
      <c r="S53" s="39">
        <f t="shared" si="16"/>
        <v>81</v>
      </c>
      <c r="T53" s="39">
        <f t="shared" si="16"/>
        <v>79</v>
      </c>
      <c r="U53" s="39">
        <f t="shared" si="16"/>
        <v>78</v>
      </c>
      <c r="V53" s="39">
        <f t="shared" si="16"/>
        <v>76</v>
      </c>
      <c r="W53" s="39">
        <f t="shared" si="16"/>
        <v>0</v>
      </c>
      <c r="X53" s="39">
        <f t="shared" si="16"/>
        <v>74</v>
      </c>
    </row>
    <row r="54" spans="1:24" ht="17" x14ac:dyDescent="0.25">
      <c r="A54" s="5">
        <v>27</v>
      </c>
      <c r="B54" s="53" t="s">
        <v>90</v>
      </c>
      <c r="C54" s="24" t="s">
        <v>92</v>
      </c>
      <c r="D54" s="24"/>
      <c r="E54" s="39">
        <f>E50-E52</f>
        <v>2009</v>
      </c>
      <c r="F54" s="39">
        <f t="shared" si="16"/>
        <v>539</v>
      </c>
      <c r="G54" s="39">
        <f t="shared" si="16"/>
        <v>0</v>
      </c>
      <c r="H54" s="39">
        <f t="shared" si="16"/>
        <v>351</v>
      </c>
      <c r="I54" s="39">
        <f t="shared" si="16"/>
        <v>296</v>
      </c>
      <c r="J54" s="39">
        <f t="shared" si="16"/>
        <v>262</v>
      </c>
      <c r="K54" s="39">
        <f t="shared" si="16"/>
        <v>319</v>
      </c>
      <c r="L54" s="39">
        <f t="shared" si="16"/>
        <v>271</v>
      </c>
      <c r="M54" s="39">
        <f t="shared" si="16"/>
        <v>240</v>
      </c>
      <c r="N54" s="39">
        <f t="shared" si="16"/>
        <v>234</v>
      </c>
      <c r="O54" s="39">
        <f t="shared" si="16"/>
        <v>231</v>
      </c>
      <c r="P54" s="39">
        <f t="shared" si="16"/>
        <v>219</v>
      </c>
      <c r="Q54" s="39">
        <f t="shared" si="16"/>
        <v>0</v>
      </c>
      <c r="R54" s="39">
        <f t="shared" si="16"/>
        <v>207</v>
      </c>
      <c r="S54" s="39">
        <f t="shared" si="16"/>
        <v>194</v>
      </c>
      <c r="T54" s="39">
        <f t="shared" si="16"/>
        <v>189</v>
      </c>
      <c r="U54" s="39">
        <f t="shared" si="16"/>
        <v>185</v>
      </c>
      <c r="V54" s="39">
        <f t="shared" si="16"/>
        <v>181</v>
      </c>
      <c r="W54" s="39">
        <f t="shared" si="16"/>
        <v>0</v>
      </c>
      <c r="X54" s="39">
        <f t="shared" si="16"/>
        <v>177</v>
      </c>
    </row>
    <row r="55" spans="1:24" x14ac:dyDescent="0.2">
      <c r="A55" s="5"/>
      <c r="B55" s="53"/>
      <c r="C55" s="24" t="s">
        <v>93</v>
      </c>
      <c r="D55" s="37"/>
      <c r="E55" s="39">
        <f>D$55+E$46</f>
        <v>3475</v>
      </c>
      <c r="F55" s="39">
        <f t="shared" ref="F55:X55" si="17">E$55+F$46</f>
        <v>4410</v>
      </c>
      <c r="G55" s="39">
        <f t="shared" si="17"/>
        <v>4410</v>
      </c>
      <c r="H55" s="39">
        <f t="shared" si="17"/>
        <v>5018</v>
      </c>
      <c r="I55" s="39">
        <f t="shared" si="17"/>
        <v>5531</v>
      </c>
      <c r="J55" s="39">
        <f t="shared" si="17"/>
        <v>5985</v>
      </c>
      <c r="K55" s="39">
        <f t="shared" si="17"/>
        <v>6537</v>
      </c>
      <c r="L55" s="39">
        <f t="shared" si="17"/>
        <v>7007</v>
      </c>
      <c r="M55" s="39">
        <f t="shared" si="17"/>
        <v>7422</v>
      </c>
      <c r="N55" s="39">
        <f t="shared" si="17"/>
        <v>7827</v>
      </c>
      <c r="O55" s="39">
        <f t="shared" si="17"/>
        <v>8228</v>
      </c>
      <c r="P55" s="39">
        <f t="shared" si="17"/>
        <v>8609</v>
      </c>
      <c r="Q55" s="39">
        <f t="shared" si="17"/>
        <v>8609</v>
      </c>
      <c r="R55" s="39">
        <f t="shared" si="17"/>
        <v>8969</v>
      </c>
      <c r="S55" s="39">
        <f t="shared" si="17"/>
        <v>9305</v>
      </c>
      <c r="T55" s="39">
        <f t="shared" si="17"/>
        <v>9633</v>
      </c>
      <c r="U55" s="39">
        <f t="shared" si="17"/>
        <v>9954</v>
      </c>
      <c r="V55" s="39">
        <f t="shared" si="17"/>
        <v>10268</v>
      </c>
      <c r="W55" s="39">
        <f t="shared" si="17"/>
        <v>10268</v>
      </c>
      <c r="X55" s="39">
        <f t="shared" si="17"/>
        <v>10575</v>
      </c>
    </row>
    <row r="56" spans="1:24" x14ac:dyDescent="0.2">
      <c r="A56" s="5"/>
      <c r="B56" s="53"/>
      <c r="C56" s="24" t="s">
        <v>94</v>
      </c>
      <c r="D56" s="37"/>
      <c r="E56" s="39">
        <f t="shared" ref="E56:X56" si="18">D$56+E$47</f>
        <v>626</v>
      </c>
      <c r="F56" s="39">
        <f t="shared" si="18"/>
        <v>795</v>
      </c>
      <c r="G56" s="39">
        <f t="shared" si="18"/>
        <v>795</v>
      </c>
      <c r="H56" s="39">
        <f t="shared" si="18"/>
        <v>905</v>
      </c>
      <c r="I56" s="39">
        <f t="shared" si="18"/>
        <v>998</v>
      </c>
      <c r="J56" s="39">
        <f t="shared" si="18"/>
        <v>1080</v>
      </c>
      <c r="K56" s="39">
        <f t="shared" si="18"/>
        <v>1180</v>
      </c>
      <c r="L56" s="39">
        <f t="shared" si="18"/>
        <v>1265</v>
      </c>
      <c r="M56" s="39">
        <f t="shared" si="18"/>
        <v>1340</v>
      </c>
      <c r="N56" s="39">
        <f t="shared" si="18"/>
        <v>1413</v>
      </c>
      <c r="O56" s="39">
        <f t="shared" si="18"/>
        <v>1486</v>
      </c>
      <c r="P56" s="39">
        <f t="shared" si="18"/>
        <v>1555</v>
      </c>
      <c r="Q56" s="39">
        <f t="shared" si="18"/>
        <v>1555</v>
      </c>
      <c r="R56" s="39">
        <f t="shared" si="18"/>
        <v>1620</v>
      </c>
      <c r="S56" s="39">
        <f t="shared" si="18"/>
        <v>1681</v>
      </c>
      <c r="T56" s="39">
        <f t="shared" si="18"/>
        <v>1741</v>
      </c>
      <c r="U56" s="39">
        <f t="shared" si="18"/>
        <v>1799</v>
      </c>
      <c r="V56" s="39">
        <f t="shared" si="18"/>
        <v>1856</v>
      </c>
      <c r="W56" s="39">
        <f t="shared" si="18"/>
        <v>1856</v>
      </c>
      <c r="X56" s="39">
        <f t="shared" si="18"/>
        <v>1912</v>
      </c>
    </row>
    <row r="57" spans="1:24" x14ac:dyDescent="0.2">
      <c r="A57" s="5"/>
      <c r="B57" s="53"/>
      <c r="C57" s="24" t="s">
        <v>95</v>
      </c>
      <c r="D57" s="37"/>
      <c r="E57" s="39">
        <f>D$57+E$48</f>
        <v>2849</v>
      </c>
      <c r="F57" s="39">
        <f t="shared" ref="F57:X57" si="19">E$57+F$48</f>
        <v>3615</v>
      </c>
      <c r="G57" s="39">
        <f t="shared" si="19"/>
        <v>3615</v>
      </c>
      <c r="H57" s="39">
        <f t="shared" si="19"/>
        <v>4113</v>
      </c>
      <c r="I57" s="39">
        <f t="shared" si="19"/>
        <v>4533</v>
      </c>
      <c r="J57" s="39">
        <f t="shared" si="19"/>
        <v>4905</v>
      </c>
      <c r="K57" s="39">
        <f t="shared" si="19"/>
        <v>5357</v>
      </c>
      <c r="L57" s="39">
        <f t="shared" si="19"/>
        <v>5742</v>
      </c>
      <c r="M57" s="39">
        <f t="shared" si="19"/>
        <v>6082</v>
      </c>
      <c r="N57" s="39">
        <f t="shared" si="19"/>
        <v>6414</v>
      </c>
      <c r="O57" s="39">
        <f t="shared" si="19"/>
        <v>6742</v>
      </c>
      <c r="P57" s="39">
        <f t="shared" si="19"/>
        <v>7054</v>
      </c>
      <c r="Q57" s="39">
        <f t="shared" si="19"/>
        <v>7054</v>
      </c>
      <c r="R57" s="39">
        <f t="shared" si="19"/>
        <v>7349</v>
      </c>
      <c r="S57" s="39">
        <f t="shared" si="19"/>
        <v>7624</v>
      </c>
      <c r="T57" s="39">
        <f t="shared" si="19"/>
        <v>7892</v>
      </c>
      <c r="U57" s="39">
        <f t="shared" si="19"/>
        <v>8155</v>
      </c>
      <c r="V57" s="39">
        <f t="shared" si="19"/>
        <v>8412</v>
      </c>
      <c r="W57" s="39">
        <f t="shared" si="19"/>
        <v>8412</v>
      </c>
      <c r="X57" s="39">
        <f t="shared" si="19"/>
        <v>8663</v>
      </c>
    </row>
    <row r="58" spans="1:24" x14ac:dyDescent="0.2">
      <c r="A58" s="5"/>
      <c r="B58" s="53"/>
      <c r="C58" s="41" t="s">
        <v>96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1:24" x14ac:dyDescent="0.2">
      <c r="A59" s="5"/>
      <c r="B59" s="53"/>
      <c r="C59" s="43" t="s">
        <v>97</v>
      </c>
      <c r="D59" s="44"/>
      <c r="E59" s="45">
        <f>IF($E$45&gt;=0, 0, $E$45)</f>
        <v>0</v>
      </c>
      <c r="F59" s="45">
        <f>IF(AND(COUNTIF($E59:E59,0)=0,F45+E59&lt;0),F45+E59,0)</f>
        <v>0</v>
      </c>
      <c r="G59" s="45">
        <f>IF(AND(COUNTIF($E59:F59,0)=0,G45+F59&lt;0),G45+F59,0)</f>
        <v>0</v>
      </c>
      <c r="H59" s="45">
        <f>IF(AND(COUNTIF($E59:G59,0)=0,H45+G59&lt;0),H45+G59,0)</f>
        <v>0</v>
      </c>
      <c r="I59" s="45">
        <f>IF(AND(COUNTIF($E59:H59,0)=0,I45+H59&lt;0),I45+H59,0)</f>
        <v>0</v>
      </c>
      <c r="J59" s="45">
        <f>IF(AND(COUNTIF($E59:I59,0)=0,J45+I59&lt;0),J45+I59,0)</f>
        <v>0</v>
      </c>
      <c r="K59" s="45">
        <f>IF(AND(COUNTIF($E59:J59,0)=0,K45+J59&lt;0),K45+J59,0)</f>
        <v>0</v>
      </c>
      <c r="L59" s="45">
        <f>IF(AND(COUNTIF($E59:K59,0)=0,L45+K59&lt;0),L45+K59,0)</f>
        <v>0</v>
      </c>
      <c r="M59" s="45">
        <f>IF(AND(COUNTIF($E59:L59,0)=0,M45+L59&lt;0),M45+L59,0)</f>
        <v>0</v>
      </c>
      <c r="N59" s="45">
        <f>IF(AND(COUNTIF($E59:M59,0)=0,N45+M59&lt;0),N45+M59,0)</f>
        <v>0</v>
      </c>
      <c r="O59" s="45">
        <f>IF(AND(COUNTIF($E59:N59,0)=0,O45+N59&lt;0),O45+N59,0)</f>
        <v>0</v>
      </c>
      <c r="P59" s="45">
        <f>IF(AND(COUNTIF($E59:O59,0)=0,P45+O59&lt;0),P45+O59,0)</f>
        <v>0</v>
      </c>
      <c r="Q59" s="45">
        <f>IF(AND(COUNTIF($E59:P59,0)=0,Q45+P59&lt;0),Q45+P59,0)</f>
        <v>0</v>
      </c>
      <c r="R59" s="45">
        <f>IF(AND(COUNTIF($E59:Q59,0)=0,R45+Q59&lt;0),R45+Q59,0)</f>
        <v>0</v>
      </c>
      <c r="S59" s="45">
        <f>IF(AND(COUNTIF($E59:R59,0)=0,S45+R59&lt;0),S45+R59,0)</f>
        <v>0</v>
      </c>
      <c r="T59" s="45">
        <f>IF(AND(COUNTIF($E59:S59,0)=0,T45+S59&lt;0),T45+S59,0)</f>
        <v>0</v>
      </c>
      <c r="U59" s="45">
        <f>IF(AND(COUNTIF($E59:T59,0)=0,U45+T59&lt;0),U45+T59,0)</f>
        <v>0</v>
      </c>
      <c r="V59" s="45">
        <f>IF(AND(COUNTIF($E59:U59,0)=0,V45+U59&lt;0),V45+U59,0)</f>
        <v>0</v>
      </c>
      <c r="W59" s="45">
        <f>IF(AND(COUNTIF($E59:V59,0)=0,W45+V59&lt;0),W45+V59,0)</f>
        <v>0</v>
      </c>
      <c r="X59" s="45">
        <f>IF(AND(COUNTIF($E59:W59,0)=0,X45+W59&lt;0),X45+W59,0)</f>
        <v>0</v>
      </c>
    </row>
    <row r="60" spans="1:24" x14ac:dyDescent="0.2">
      <c r="A60" s="5"/>
      <c r="B60" s="53"/>
      <c r="C60" s="43" t="s">
        <v>98</v>
      </c>
      <c r="D60" s="44"/>
      <c r="E60" s="45">
        <f>IF(E45&lt;0,IF(E59=0,E45,0),0)</f>
        <v>0</v>
      </c>
      <c r="F60" s="45">
        <f t="shared" ref="F60:X60" si="20">IF(F45&lt;0,IF(F59=0,F45,0),0)</f>
        <v>0</v>
      </c>
      <c r="G60" s="45">
        <f>IF(G45&lt;0,IF(G59=0,G45,0),0)</f>
        <v>-529</v>
      </c>
      <c r="H60" s="45">
        <f t="shared" si="20"/>
        <v>0</v>
      </c>
      <c r="I60" s="45">
        <f t="shared" si="20"/>
        <v>0</v>
      </c>
      <c r="J60" s="45">
        <f t="shared" si="20"/>
        <v>0</v>
      </c>
      <c r="K60" s="45">
        <f t="shared" si="20"/>
        <v>0</v>
      </c>
      <c r="L60" s="45">
        <f t="shared" si="20"/>
        <v>0</v>
      </c>
      <c r="M60" s="45">
        <f t="shared" si="20"/>
        <v>0</v>
      </c>
      <c r="N60" s="45">
        <f t="shared" si="20"/>
        <v>0</v>
      </c>
      <c r="O60" s="45">
        <f t="shared" si="20"/>
        <v>0</v>
      </c>
      <c r="P60" s="45">
        <f t="shared" si="20"/>
        <v>0</v>
      </c>
      <c r="Q60" s="45">
        <f t="shared" si="20"/>
        <v>-972</v>
      </c>
      <c r="R60" s="45">
        <f t="shared" si="20"/>
        <v>0</v>
      </c>
      <c r="S60" s="45">
        <f t="shared" si="20"/>
        <v>0</v>
      </c>
      <c r="T60" s="45">
        <f t="shared" si="20"/>
        <v>0</v>
      </c>
      <c r="U60" s="45">
        <f t="shared" si="20"/>
        <v>0</v>
      </c>
      <c r="V60" s="45">
        <f t="shared" si="20"/>
        <v>0</v>
      </c>
      <c r="W60" s="45">
        <f t="shared" si="20"/>
        <v>-1310</v>
      </c>
      <c r="X60" s="45">
        <f t="shared" si="20"/>
        <v>0</v>
      </c>
    </row>
    <row r="61" spans="1:24" x14ac:dyDescent="0.2">
      <c r="A61" s="5"/>
      <c r="B61" s="53"/>
      <c r="C61" s="46" t="s">
        <v>99</v>
      </c>
      <c r="D61" s="47"/>
      <c r="E61" s="48">
        <f>D$61+E$60</f>
        <v>0</v>
      </c>
      <c r="F61" s="48">
        <f t="shared" ref="F61:X61" si="21">E$61+F$60</f>
        <v>0</v>
      </c>
      <c r="G61" s="48">
        <f t="shared" si="21"/>
        <v>-529</v>
      </c>
      <c r="H61" s="48">
        <f t="shared" si="21"/>
        <v>-529</v>
      </c>
      <c r="I61" s="48">
        <f t="shared" si="21"/>
        <v>-529</v>
      </c>
      <c r="J61" s="48">
        <f t="shared" si="21"/>
        <v>-529</v>
      </c>
      <c r="K61" s="48">
        <f t="shared" si="21"/>
        <v>-529</v>
      </c>
      <c r="L61" s="48">
        <f t="shared" si="21"/>
        <v>-529</v>
      </c>
      <c r="M61" s="48">
        <f t="shared" si="21"/>
        <v>-529</v>
      </c>
      <c r="N61" s="48">
        <f t="shared" si="21"/>
        <v>-529</v>
      </c>
      <c r="O61" s="48">
        <f t="shared" si="21"/>
        <v>-529</v>
      </c>
      <c r="P61" s="48">
        <f t="shared" si="21"/>
        <v>-529</v>
      </c>
      <c r="Q61" s="48">
        <f t="shared" si="21"/>
        <v>-1501</v>
      </c>
      <c r="R61" s="48">
        <f t="shared" si="21"/>
        <v>-1501</v>
      </c>
      <c r="S61" s="48">
        <f t="shared" si="21"/>
        <v>-1501</v>
      </c>
      <c r="T61" s="48">
        <f t="shared" si="21"/>
        <v>-1501</v>
      </c>
      <c r="U61" s="48">
        <f t="shared" si="21"/>
        <v>-1501</v>
      </c>
      <c r="V61" s="48">
        <f t="shared" si="21"/>
        <v>-1501</v>
      </c>
      <c r="W61" s="48">
        <f t="shared" si="21"/>
        <v>-2811</v>
      </c>
      <c r="X61" s="48">
        <f t="shared" si="21"/>
        <v>-2811</v>
      </c>
    </row>
    <row r="62" spans="1:24" x14ac:dyDescent="0.2">
      <c r="A62" s="5"/>
      <c r="B62" s="53"/>
      <c r="C62" s="61" t="s">
        <v>100</v>
      </c>
      <c r="D62" s="59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</row>
    <row r="63" spans="1:24" ht="17" x14ac:dyDescent="0.25">
      <c r="A63" s="5">
        <v>28</v>
      </c>
      <c r="B63" s="53" t="s">
        <v>101</v>
      </c>
      <c r="C63" s="62" t="s">
        <v>102</v>
      </c>
      <c r="D63" s="59"/>
      <c r="E63" s="60">
        <f>IF(E46&lt;0,0,IF(E38&lt;0,0,IF(ROUNDDOWN(E38*(1-$E$15)*(1-E$43),0)&gt;=E46,E46,ROUNDDOWN(E38*(1-$E$15)*(1-E$43),0))))</f>
        <v>502</v>
      </c>
      <c r="F63" s="60">
        <f t="shared" ref="F63:X63" si="22">IF(F46&lt;0,0,IF(F38&lt;0,0,IF(ROUNDDOWN(F38*(1-$E$15)*(1-F$43),0)&gt;=F46,F46,ROUNDDOWN(F38*(1-$E$15)*(1-F$43),0))))</f>
        <v>484</v>
      </c>
      <c r="G63" s="60">
        <f t="shared" si="22"/>
        <v>0</v>
      </c>
      <c r="H63" s="60">
        <f t="shared" si="22"/>
        <v>608</v>
      </c>
      <c r="I63" s="60">
        <f t="shared" si="22"/>
        <v>513</v>
      </c>
      <c r="J63" s="60">
        <f t="shared" si="22"/>
        <v>454</v>
      </c>
      <c r="K63" s="60">
        <f t="shared" si="22"/>
        <v>552</v>
      </c>
      <c r="L63" s="60">
        <f t="shared" si="22"/>
        <v>470</v>
      </c>
      <c r="M63" s="60">
        <f t="shared" si="22"/>
        <v>415</v>
      </c>
      <c r="N63" s="60">
        <f t="shared" si="22"/>
        <v>405</v>
      </c>
      <c r="O63" s="60">
        <f t="shared" si="22"/>
        <v>401</v>
      </c>
      <c r="P63" s="60">
        <f t="shared" si="22"/>
        <v>381</v>
      </c>
      <c r="Q63" s="60">
        <f t="shared" si="22"/>
        <v>0</v>
      </c>
      <c r="R63" s="60">
        <f t="shared" si="22"/>
        <v>360</v>
      </c>
      <c r="S63" s="60">
        <f t="shared" si="22"/>
        <v>336</v>
      </c>
      <c r="T63" s="60">
        <f t="shared" si="22"/>
        <v>328</v>
      </c>
      <c r="U63" s="60">
        <f t="shared" si="22"/>
        <v>321</v>
      </c>
      <c r="V63" s="60">
        <f t="shared" si="22"/>
        <v>314</v>
      </c>
      <c r="W63" s="60">
        <f t="shared" si="22"/>
        <v>0</v>
      </c>
      <c r="X63" s="60">
        <f t="shared" si="22"/>
        <v>307</v>
      </c>
    </row>
    <row r="64" spans="1:24" ht="17" x14ac:dyDescent="0.25">
      <c r="A64" s="5">
        <v>29</v>
      </c>
      <c r="B64" s="53" t="s">
        <v>103</v>
      </c>
      <c r="C64" s="62" t="s">
        <v>104</v>
      </c>
      <c r="D64" s="59"/>
      <c r="E64" s="60">
        <f>E46-E63</f>
        <v>2973</v>
      </c>
      <c r="F64" s="60">
        <f t="shared" ref="F64:X64" si="23">F46-F63</f>
        <v>451</v>
      </c>
      <c r="G64" s="60">
        <f t="shared" si="23"/>
        <v>0</v>
      </c>
      <c r="H64" s="60">
        <f t="shared" si="23"/>
        <v>0</v>
      </c>
      <c r="I64" s="60">
        <f t="shared" si="23"/>
        <v>0</v>
      </c>
      <c r="J64" s="60">
        <f t="shared" si="23"/>
        <v>0</v>
      </c>
      <c r="K64" s="60">
        <f t="shared" si="23"/>
        <v>0</v>
      </c>
      <c r="L64" s="60">
        <f t="shared" si="23"/>
        <v>0</v>
      </c>
      <c r="M64" s="60">
        <f t="shared" si="23"/>
        <v>0</v>
      </c>
      <c r="N64" s="60">
        <f t="shared" si="23"/>
        <v>0</v>
      </c>
      <c r="O64" s="60">
        <f t="shared" si="23"/>
        <v>0</v>
      </c>
      <c r="P64" s="60">
        <f t="shared" si="23"/>
        <v>0</v>
      </c>
      <c r="Q64" s="60">
        <f t="shared" si="23"/>
        <v>0</v>
      </c>
      <c r="R64" s="60">
        <f t="shared" si="23"/>
        <v>0</v>
      </c>
      <c r="S64" s="60">
        <f t="shared" si="23"/>
        <v>0</v>
      </c>
      <c r="T64" s="60">
        <f t="shared" si="23"/>
        <v>0</v>
      </c>
      <c r="U64" s="60">
        <f t="shared" si="23"/>
        <v>0</v>
      </c>
      <c r="V64" s="60">
        <f t="shared" si="23"/>
        <v>0</v>
      </c>
      <c r="W64" s="60">
        <f t="shared" si="23"/>
        <v>0</v>
      </c>
      <c r="X64" s="60">
        <f t="shared" si="23"/>
        <v>0</v>
      </c>
    </row>
    <row r="65" spans="1:24" x14ac:dyDescent="0.2">
      <c r="A65" s="5"/>
      <c r="B65" s="53"/>
      <c r="C65" s="62" t="s">
        <v>105</v>
      </c>
      <c r="D65" s="59"/>
      <c r="E65" s="64">
        <f>ROUND(E$63*((DATE(YEAR(E$22),1,1)-DATE(YEAR(D$22),MONTH($E$17),DAY($E$17)))/(365+IF(MOD(YEAR(D$22),4),0,1))),0)</f>
        <v>148</v>
      </c>
      <c r="F65" s="64">
        <f t="shared" ref="F65:X65" si="24">ROUND(F$63*((DATE(YEAR(F$22),1,1)-DATE(YEAR(E$22),MONTH($E$17),DAY($E$17)))/(365+IF(MOD(YEAR(E$22),4),0,1))),0)</f>
        <v>143</v>
      </c>
      <c r="G65" s="64">
        <f t="shared" si="24"/>
        <v>0</v>
      </c>
      <c r="H65" s="64">
        <f t="shared" si="24"/>
        <v>180</v>
      </c>
      <c r="I65" s="64">
        <f t="shared" si="24"/>
        <v>151</v>
      </c>
      <c r="J65" s="64">
        <f t="shared" si="24"/>
        <v>134</v>
      </c>
      <c r="K65" s="64">
        <f t="shared" si="24"/>
        <v>163</v>
      </c>
      <c r="L65" s="64">
        <f>ROUND(L$63*((DATE(YEAR(L$22),1,1)-DATE(YEAR(K$22),MONTH($E$17),DAY($E$17)))/(365+IF(MOD(YEAR(K$22),4),0,1))),0)</f>
        <v>139</v>
      </c>
      <c r="M65" s="64">
        <f t="shared" si="24"/>
        <v>122</v>
      </c>
      <c r="N65" s="64">
        <f t="shared" si="24"/>
        <v>120</v>
      </c>
      <c r="O65" s="64">
        <f t="shared" si="24"/>
        <v>119</v>
      </c>
      <c r="P65" s="64">
        <f t="shared" si="24"/>
        <v>113</v>
      </c>
      <c r="Q65" s="64">
        <f t="shared" si="24"/>
        <v>0</v>
      </c>
      <c r="R65" s="64">
        <f t="shared" si="24"/>
        <v>107</v>
      </c>
      <c r="S65" s="64">
        <f t="shared" si="24"/>
        <v>99</v>
      </c>
      <c r="T65" s="64">
        <f t="shared" si="24"/>
        <v>97</v>
      </c>
      <c r="U65" s="64">
        <f t="shared" si="24"/>
        <v>95</v>
      </c>
      <c r="V65" s="64">
        <f t="shared" si="24"/>
        <v>93</v>
      </c>
      <c r="W65" s="64">
        <f t="shared" si="24"/>
        <v>0</v>
      </c>
      <c r="X65" s="64">
        <f t="shared" si="24"/>
        <v>91</v>
      </c>
    </row>
    <row r="66" spans="1:24" x14ac:dyDescent="0.2">
      <c r="A66" s="5"/>
      <c r="B66" s="53"/>
      <c r="C66" s="62" t="s">
        <v>106</v>
      </c>
      <c r="D66" s="59"/>
      <c r="E66" s="60">
        <f>ROUND(E$63*((DATE(YEAR(D$22),MONTH($E$17),DAY($E$17))-(DATE(YEAR(D$22),1,1)))/(365+IF(MOD(YEAR(D$22),4),0,1))),0)</f>
        <v>354</v>
      </c>
      <c r="F66" s="60">
        <f t="shared" ref="F66:X66" si="25">ROUND(F$63*((DATE(YEAR(E$22),MONTH($E$17),DAY($E$17))-(DATE(YEAR(E$22),1,1)))/(365+IF(MOD(YEAR(E$22),4),0,1))),0)</f>
        <v>341</v>
      </c>
      <c r="G66" s="60">
        <f t="shared" si="25"/>
        <v>0</v>
      </c>
      <c r="H66" s="60">
        <f t="shared" si="25"/>
        <v>428</v>
      </c>
      <c r="I66" s="60">
        <f t="shared" si="25"/>
        <v>362</v>
      </c>
      <c r="J66" s="60">
        <f t="shared" si="25"/>
        <v>320</v>
      </c>
      <c r="K66" s="60">
        <f t="shared" si="25"/>
        <v>389</v>
      </c>
      <c r="L66" s="60">
        <f t="shared" si="25"/>
        <v>331</v>
      </c>
      <c r="M66" s="60">
        <f t="shared" si="25"/>
        <v>293</v>
      </c>
      <c r="N66" s="60">
        <f t="shared" si="25"/>
        <v>285</v>
      </c>
      <c r="O66" s="60">
        <f t="shared" si="25"/>
        <v>282</v>
      </c>
      <c r="P66" s="60">
        <f t="shared" si="25"/>
        <v>268</v>
      </c>
      <c r="Q66" s="60">
        <f t="shared" si="25"/>
        <v>0</v>
      </c>
      <c r="R66" s="60">
        <f t="shared" si="25"/>
        <v>253</v>
      </c>
      <c r="S66" s="60">
        <f t="shared" si="25"/>
        <v>237</v>
      </c>
      <c r="T66" s="60">
        <f t="shared" si="25"/>
        <v>231</v>
      </c>
      <c r="U66" s="60">
        <f t="shared" si="25"/>
        <v>226</v>
      </c>
      <c r="V66" s="60">
        <f t="shared" si="25"/>
        <v>221</v>
      </c>
      <c r="W66" s="60">
        <f t="shared" si="25"/>
        <v>0</v>
      </c>
      <c r="X66" s="60">
        <f t="shared" si="25"/>
        <v>216</v>
      </c>
    </row>
    <row r="67" spans="1:24" x14ac:dyDescent="0.2">
      <c r="A67" s="5"/>
      <c r="B67" s="53"/>
      <c r="C67" s="63" t="s">
        <v>107</v>
      </c>
      <c r="D67" s="59"/>
      <c r="E67" s="60">
        <f>E49-E65</f>
        <v>877</v>
      </c>
      <c r="F67" s="60">
        <f t="shared" ref="F67:X68" si="26">F49-F65</f>
        <v>134</v>
      </c>
      <c r="G67" s="60">
        <f t="shared" si="26"/>
        <v>0</v>
      </c>
      <c r="H67" s="60">
        <f t="shared" si="26"/>
        <v>0</v>
      </c>
      <c r="I67" s="60">
        <f t="shared" si="26"/>
        <v>0</v>
      </c>
      <c r="J67" s="60">
        <f t="shared" si="26"/>
        <v>0</v>
      </c>
      <c r="K67" s="60">
        <f t="shared" si="26"/>
        <v>0</v>
      </c>
      <c r="L67" s="60">
        <f t="shared" si="26"/>
        <v>0</v>
      </c>
      <c r="M67" s="60">
        <f t="shared" si="26"/>
        <v>0</v>
      </c>
      <c r="N67" s="60">
        <f t="shared" si="26"/>
        <v>0</v>
      </c>
      <c r="O67" s="60">
        <f t="shared" si="26"/>
        <v>0</v>
      </c>
      <c r="P67" s="60">
        <f t="shared" si="26"/>
        <v>0</v>
      </c>
      <c r="Q67" s="60">
        <f t="shared" si="26"/>
        <v>0</v>
      </c>
      <c r="R67" s="60">
        <f t="shared" si="26"/>
        <v>0</v>
      </c>
      <c r="S67" s="60">
        <f t="shared" si="26"/>
        <v>0</v>
      </c>
      <c r="T67" s="60">
        <f t="shared" si="26"/>
        <v>0</v>
      </c>
      <c r="U67" s="60">
        <f t="shared" si="26"/>
        <v>0</v>
      </c>
      <c r="V67" s="60">
        <f t="shared" si="26"/>
        <v>0</v>
      </c>
      <c r="W67" s="60">
        <f t="shared" si="26"/>
        <v>0</v>
      </c>
      <c r="X67" s="60">
        <f t="shared" si="26"/>
        <v>0</v>
      </c>
    </row>
    <row r="68" spans="1:24" x14ac:dyDescent="0.2">
      <c r="A68" s="5"/>
      <c r="B68" s="50"/>
      <c r="C68" s="63" t="s">
        <v>108</v>
      </c>
      <c r="D68" s="59"/>
      <c r="E68" s="60">
        <f>E50-E66</f>
        <v>2096</v>
      </c>
      <c r="F68" s="60">
        <f t="shared" si="26"/>
        <v>317</v>
      </c>
      <c r="G68" s="60">
        <f t="shared" si="26"/>
        <v>0</v>
      </c>
      <c r="H68" s="60">
        <f t="shared" si="26"/>
        <v>0</v>
      </c>
      <c r="I68" s="60">
        <f t="shared" si="26"/>
        <v>0</v>
      </c>
      <c r="J68" s="60">
        <f t="shared" si="26"/>
        <v>0</v>
      </c>
      <c r="K68" s="60">
        <f t="shared" si="26"/>
        <v>0</v>
      </c>
      <c r="L68" s="60">
        <f t="shared" si="26"/>
        <v>0</v>
      </c>
      <c r="M68" s="60">
        <f t="shared" si="26"/>
        <v>0</v>
      </c>
      <c r="N68" s="60">
        <f t="shared" si="26"/>
        <v>0</v>
      </c>
      <c r="O68" s="60">
        <f t="shared" si="26"/>
        <v>0</v>
      </c>
      <c r="P68" s="60">
        <f t="shared" si="26"/>
        <v>0</v>
      </c>
      <c r="Q68" s="60">
        <f t="shared" si="26"/>
        <v>0</v>
      </c>
      <c r="R68" s="60">
        <f t="shared" si="26"/>
        <v>0</v>
      </c>
      <c r="S68" s="60">
        <f t="shared" si="26"/>
        <v>0</v>
      </c>
      <c r="T68" s="60">
        <f t="shared" si="26"/>
        <v>0</v>
      </c>
      <c r="U68" s="60">
        <f t="shared" si="26"/>
        <v>0</v>
      </c>
      <c r="V68" s="60">
        <f t="shared" si="26"/>
        <v>0</v>
      </c>
      <c r="W68" s="60">
        <f t="shared" si="26"/>
        <v>0</v>
      </c>
      <c r="X68" s="60">
        <f t="shared" si="26"/>
        <v>0</v>
      </c>
    </row>
    <row r="69" spans="1:24" x14ac:dyDescent="0.2">
      <c r="A69" s="5"/>
      <c r="B69" s="50"/>
      <c r="C69" s="3" t="s">
        <v>109</v>
      </c>
      <c r="D69" s="40">
        <f>D24+D25</f>
        <v>18758.947200000002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x14ac:dyDescent="0.2">
      <c r="A70" s="5"/>
      <c r="B70" s="50"/>
      <c r="C70" s="3" t="s">
        <v>110</v>
      </c>
      <c r="D70" s="40">
        <f>D24+D25</f>
        <v>18758.947200000002</v>
      </c>
      <c r="E70" s="40">
        <f t="shared" ref="E70:X70" si="27">E24+E25</f>
        <v>13662.689600000002</v>
      </c>
      <c r="F70" s="40">
        <f t="shared" si="27"/>
        <v>10470.612800000001</v>
      </c>
      <c r="G70" s="40">
        <f t="shared" si="27"/>
        <v>11138.193599999999</v>
      </c>
      <c r="H70" s="40">
        <f t="shared" si="27"/>
        <v>12073.9792</v>
      </c>
      <c r="I70" s="40">
        <f t="shared" si="27"/>
        <v>12837.190399999999</v>
      </c>
      <c r="J70" s="40">
        <f t="shared" si="27"/>
        <v>13517.961599999999</v>
      </c>
      <c r="K70" s="40">
        <f t="shared" si="27"/>
        <v>14364.712</v>
      </c>
      <c r="L70" s="40">
        <f t="shared" si="27"/>
        <v>12668.280000000002</v>
      </c>
      <c r="M70" s="40">
        <f t="shared" si="27"/>
        <v>13271.7408</v>
      </c>
      <c r="N70" s="40">
        <f t="shared" si="27"/>
        <v>13880.331200000002</v>
      </c>
      <c r="O70" s="40">
        <f t="shared" si="27"/>
        <v>11494.334400000002</v>
      </c>
      <c r="P70" s="40">
        <f t="shared" si="27"/>
        <v>12137.7328</v>
      </c>
      <c r="Q70" s="40">
        <f t="shared" si="27"/>
        <v>12832.060799999997</v>
      </c>
      <c r="R70" s="40">
        <f t="shared" si="27"/>
        <v>10538.396800000002</v>
      </c>
      <c r="S70" s="40">
        <f t="shared" si="27"/>
        <v>11206.7104</v>
      </c>
      <c r="T70" s="40">
        <f t="shared" si="27"/>
        <v>11881.619200000001</v>
      </c>
      <c r="U70" s="40">
        <f t="shared" si="27"/>
        <v>12937.217600000002</v>
      </c>
      <c r="V70" s="40">
        <f t="shared" si="27"/>
        <v>14012.968000000001</v>
      </c>
      <c r="W70" s="40">
        <f t="shared" si="27"/>
        <v>14849.8256</v>
      </c>
      <c r="X70" s="40">
        <f t="shared" si="27"/>
        <v>12608.5568</v>
      </c>
    </row>
    <row r="71" spans="1:24" x14ac:dyDescent="0.2">
      <c r="A71" s="5"/>
      <c r="B71" s="50"/>
      <c r="C71" s="3" t="s">
        <v>111</v>
      </c>
      <c r="D71" s="40">
        <f>IF(SUM($D31:D31)=1,D30,D24+D25)</f>
        <v>18758.947200000002</v>
      </c>
      <c r="E71" s="40">
        <f>IF(SUM($D31:E31)=1,E30,E24+E25)</f>
        <v>13662.689600000002</v>
      </c>
      <c r="F71" s="40">
        <f>IF(SUM($D31:F31)=1,F30,F24+F25)</f>
        <v>13052.770214857144</v>
      </c>
      <c r="G71" s="40">
        <f>IF(SUM($D31:G31)=1,G30,G24+G25)</f>
        <v>13052.770214857144</v>
      </c>
      <c r="H71" s="40">
        <f>IF(SUM($D31:H31)=1,H30,H24+H25)</f>
        <v>13052.770214857144</v>
      </c>
      <c r="I71" s="40">
        <f>IF(SUM($D31:I31)=1,I30,I24+I25)</f>
        <v>13052.770214857144</v>
      </c>
      <c r="J71" s="40">
        <f>IF(SUM($D31:J31)=1,J30,J24+J25)</f>
        <v>13052.770214857144</v>
      </c>
      <c r="K71" s="40">
        <f>IF(SUM($D31:K31)=1,K30,K24+K25)</f>
        <v>13052.770214857144</v>
      </c>
      <c r="L71" s="40">
        <f>IF(SUM($D31:L31)=1,L30,L24+L25)</f>
        <v>13052.770214857144</v>
      </c>
      <c r="M71" s="40">
        <f>IF(SUM($D31:M31)=1,M30,M24+M25)</f>
        <v>13052.770214857144</v>
      </c>
      <c r="N71" s="40">
        <f>IF(SUM($D31:N31)=1,N30,N24+N25)</f>
        <v>13052.770214857144</v>
      </c>
      <c r="O71" s="40">
        <f>IF(SUM($D31:O31)=1,O30,O24+O25)</f>
        <v>13052.770214857144</v>
      </c>
      <c r="P71" s="40">
        <f>IF(SUM($D31:P31)=1,P30,P24+P25)</f>
        <v>13052.770214857144</v>
      </c>
      <c r="Q71" s="40">
        <f>IF(SUM($D31:Q31)=1,Q30,Q24+Q25)</f>
        <v>13052.770214857144</v>
      </c>
      <c r="R71" s="40">
        <f>IF(SUM($D31:R31)=1,R30,R24+R25)</f>
        <v>13052.770214857144</v>
      </c>
      <c r="S71" s="40">
        <f>IF(SUM($D31:S31)=1,S30,S24+S25)</f>
        <v>13052.770214857144</v>
      </c>
      <c r="T71" s="40">
        <f>IF(SUM($D31:T31)=1,T30,T24+T25)</f>
        <v>13052.770214857144</v>
      </c>
      <c r="U71" s="40">
        <f>IF(SUM($D31:U31)=1,U30,U24+U25)</f>
        <v>13052.770214857144</v>
      </c>
      <c r="V71" s="40">
        <f>IF(SUM($D31:V31)=1,V30,V24+V25)</f>
        <v>13052.770214857144</v>
      </c>
      <c r="W71" s="40">
        <f>IF(SUM($D31:W31)=1,W30,W24+W25)</f>
        <v>13052.770214857144</v>
      </c>
      <c r="X71" s="40">
        <f>IF(SUM($D31:X31)=1,X30,X24+X25)</f>
        <v>13052.770214857144</v>
      </c>
    </row>
    <row r="72" spans="1:24" x14ac:dyDescent="0.2">
      <c r="A72" s="5"/>
      <c r="B72" s="50"/>
      <c r="C72" s="3" t="s">
        <v>112</v>
      </c>
      <c r="D72" s="40">
        <f t="shared" ref="D72:X72" si="28">SUM(D34:D35)</f>
        <v>18758.947200000002</v>
      </c>
      <c r="E72" s="40">
        <f t="shared" si="28"/>
        <v>19596.171199999997</v>
      </c>
      <c r="F72" s="40">
        <f t="shared" si="28"/>
        <v>20404.4496</v>
      </c>
      <c r="G72" s="40">
        <f t="shared" si="28"/>
        <v>19249.556799999998</v>
      </c>
      <c r="H72" s="40">
        <f t="shared" si="28"/>
        <v>20264.484800000006</v>
      </c>
      <c r="I72" s="40">
        <f t="shared" si="28"/>
        <v>21120.395199999999</v>
      </c>
      <c r="J72" s="40">
        <f t="shared" si="28"/>
        <v>21877.377600000003</v>
      </c>
      <c r="K72" s="40">
        <f t="shared" si="28"/>
        <v>22797.774400000002</v>
      </c>
      <c r="L72" s="40">
        <f t="shared" si="28"/>
        <v>23582.236799999999</v>
      </c>
      <c r="M72" s="40">
        <f t="shared" si="28"/>
        <v>24274</v>
      </c>
      <c r="N72" s="40">
        <f t="shared" si="28"/>
        <v>24950.007999999998</v>
      </c>
      <c r="O72" s="40">
        <f t="shared" si="28"/>
        <v>25619.054400000001</v>
      </c>
      <c r="P72" s="40">
        <f t="shared" si="28"/>
        <v>26255.109428081138</v>
      </c>
      <c r="Q72" s="40">
        <f t="shared" si="28"/>
        <v>24271.467753139201</v>
      </c>
      <c r="R72" s="40">
        <f t="shared" si="28"/>
        <v>24872.04527819726</v>
      </c>
      <c r="S72" s="40">
        <f t="shared" si="28"/>
        <v>25432.318803255326</v>
      </c>
      <c r="T72" s="40">
        <f t="shared" si="28"/>
        <v>25979.768328313388</v>
      </c>
      <c r="U72" s="40">
        <f t="shared" si="28"/>
        <v>26516.225853371448</v>
      </c>
      <c r="V72" s="40">
        <f t="shared" si="28"/>
        <v>27039.859378429508</v>
      </c>
      <c r="W72" s="40">
        <f t="shared" si="28"/>
        <v>24401.460903487572</v>
      </c>
      <c r="X72" s="40">
        <f t="shared" si="28"/>
        <v>24914.102428545633</v>
      </c>
    </row>
    <row r="75" spans="1:24" x14ac:dyDescent="0.2">
      <c r="E75" s="51">
        <f>ROUND(E$60*((DATE(YEAR(E$22),1,1)-DATE(YEAR(D$22),MONTH($E$17),DAY($E$17)))/(365+IF(MOD(YEAR(D$22),4),0,1))),0)</f>
        <v>0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</row>
    <row r="76" spans="1:24" x14ac:dyDescent="0.2"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</row>
    <row r="78" spans="1:24" x14ac:dyDescent="0.2"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</row>
    <row r="81" spans="5:24" x14ac:dyDescent="0.2"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</row>
  </sheetData>
  <mergeCells count="14">
    <mergeCell ref="A13:B13"/>
    <mergeCell ref="C13:D13"/>
    <mergeCell ref="O13:R13"/>
    <mergeCell ref="C17:D17"/>
    <mergeCell ref="I7:S7"/>
    <mergeCell ref="J8:R8"/>
    <mergeCell ref="K9:Q9"/>
    <mergeCell ref="C12:E12"/>
    <mergeCell ref="O12:S12"/>
    <mergeCell ref="A14:B14"/>
    <mergeCell ref="C14:D14"/>
    <mergeCell ref="O14:R14"/>
    <mergeCell ref="C15:D15"/>
    <mergeCell ref="C16:D16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"/>
  <sheetViews>
    <sheetView zoomScaleNormal="100" workbookViewId="0"/>
  </sheetViews>
  <sheetFormatPr baseColWidth="10" defaultColWidth="8.83203125" defaultRowHeight="15" x14ac:dyDescent="0.2"/>
  <sheetData>
    <row r="1" spans="1:1" x14ac:dyDescent="0.2">
      <c r="A1" s="2" t="s">
        <v>114</v>
      </c>
    </row>
    <row r="22" spans="1:1" x14ac:dyDescent="0.2">
      <c r="A22" s="2" t="s">
        <v>115</v>
      </c>
    </row>
    <row r="44" spans="1:1" x14ac:dyDescent="0.2">
      <c r="A44" s="2"/>
    </row>
    <row r="68" spans="1:1" x14ac:dyDescent="0.2">
      <c r="A68" s="2"/>
    </row>
    <row r="89" spans="7:7" x14ac:dyDescent="0.2">
      <c r="G89" t="s">
        <v>116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0b0b03-4e16-4b97-8705-49a91e43c016">
      <Terms xmlns="http://schemas.microsoft.com/office/infopath/2007/PartnerControls"/>
    </lcf76f155ced4ddcb4097134ff3c332f>
    <TaxCatchAll xmlns="abd54e9f-ac00-43e1-92ed-67ff343640da" xsi:nil="true"/>
    <MethodologyType xmlns="480b0b03-4e16-4b97-8705-49a91e43c0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1F972426100A47AF886BBD1E936878" ma:contentTypeVersion="5561" ma:contentTypeDescription="Create a new document." ma:contentTypeScope="" ma:versionID="416b7e198c446ea8159b6015ab2e0cd9">
  <xsd:schema xmlns:xsd="http://www.w3.org/2001/XMLSchema" xmlns:xs="http://www.w3.org/2001/XMLSchema" xmlns:p="http://schemas.microsoft.com/office/2006/metadata/properties" xmlns:ns2="57536742-d7eb-4eb0-8cdb-d69a6240b5bc" xmlns:ns3="480b0b03-4e16-4b97-8705-49a91e43c016" xmlns:ns4="e42c8a2f-dd3e-41c1-bb92-09c27bffbaa7" xmlns:ns5="abd54e9f-ac00-43e1-92ed-67ff343640da" targetNamespace="http://schemas.microsoft.com/office/2006/metadata/properties" ma:root="true" ma:fieldsID="33096e526a79245450bc2675c8b26192" ns2:_="" ns3:_="" ns4:_="" ns5:_="">
    <xsd:import namespace="57536742-d7eb-4eb0-8cdb-d69a6240b5bc"/>
    <xsd:import namespace="480b0b03-4e16-4b97-8705-49a91e43c016"/>
    <xsd:import namespace="e42c8a2f-dd3e-41c1-bb92-09c27bffbaa7"/>
    <xsd:import namespace="abd54e9f-ac00-43e1-92ed-67ff34364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thodologyTyp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36742-d7eb-4eb0-8cdb-d69a6240b5b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b0b03-4e16-4b97-8705-49a91e43c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1c2b29-a11c-43ed-8b00-f264793a8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thodologyType" ma:index="29" nillable="true" ma:displayName="Methodology Type" ma:format="Dropdown" ma:internalName="MethodologyType">
      <xsd:simpleType>
        <xsd:restriction base="dms:Choice">
          <xsd:enumeration value="Forestry"/>
          <xsd:enumeration value="Industrial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c8a2f-dd3e-41c1-bb92-09c27bffbaa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54e9f-ac00-43e1-92ed-67ff343640d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3d95a9d-c394-4146-a844-2453be9b8793}" ma:internalName="TaxCatchAll" ma:showField="CatchAllData" ma:web="57536742-d7eb-4eb0-8cdb-d69a6240b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12E0F-7A84-4CA8-8797-178B6D6CCF6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e42c8a2f-dd3e-41c1-bb92-09c27bffbaa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bd54e9f-ac00-43e1-92ed-67ff343640da"/>
    <ds:schemaRef ds:uri="480b0b03-4e16-4b97-8705-49a91e43c016"/>
    <ds:schemaRef ds:uri="57536742-d7eb-4eb0-8cdb-d69a6240b5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EA6EC5-88EF-4A01-A510-5E2EE8AE9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36742-d7eb-4eb0-8cdb-d69a6240b5bc"/>
    <ds:schemaRef ds:uri="480b0b03-4e16-4b97-8705-49a91e43c016"/>
    <ds:schemaRef ds:uri="e42c8a2f-dd3e-41c1-bb92-09c27bffbaa7"/>
    <ds:schemaRef ds:uri="abd54e9f-ac00-43e1-92ed-67ff34364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4D5F8A-4B84-4AC9-9B80-C1E228FA5D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5CC5E90-8F42-45C4-AA2E-50AFC7330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 and Version</vt:lpstr>
      <vt:lpstr>Example A-No Harvest Project</vt:lpstr>
      <vt:lpstr>Example B-Light Harvest Project</vt:lpstr>
      <vt:lpstr>Graphs</vt:lpstr>
    </vt:vector>
  </TitlesOfParts>
  <Manager/>
  <Company>Oregon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Latta</dc:creator>
  <cp:keywords/>
  <dc:description/>
  <cp:lastModifiedBy>Kahn, Brad</cp:lastModifiedBy>
  <cp:revision/>
  <dcterms:created xsi:type="dcterms:W3CDTF">2011-08-18T13:23:13Z</dcterms:created>
  <dcterms:modified xsi:type="dcterms:W3CDTF">2025-10-22T21:50:00Z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d367d-9e3b-49e5-aa9a-caafdafee3aa_Enabled">
    <vt:lpwstr>true</vt:lpwstr>
  </property>
  <property fmtid="{D5CDD505-2E9C-101B-9397-08002B2CF9AE}" pid="3" name="MSIP_Label_65bd367d-9e3b-49e5-aa9a-caafdafee3aa_SetDate">
    <vt:lpwstr>2021-04-13T22:15:42Z</vt:lpwstr>
  </property>
  <property fmtid="{D5CDD505-2E9C-101B-9397-08002B2CF9AE}" pid="4" name="MSIP_Label_65bd367d-9e3b-49e5-aa9a-caafdafee3aa_Method">
    <vt:lpwstr>Standard</vt:lpwstr>
  </property>
  <property fmtid="{D5CDD505-2E9C-101B-9397-08002B2CF9AE}" pid="5" name="MSIP_Label_65bd367d-9e3b-49e5-aa9a-caafdafee3aa_Name">
    <vt:lpwstr>65bd367d-9e3b-49e5-aa9a-caafdafee3aa</vt:lpwstr>
  </property>
  <property fmtid="{D5CDD505-2E9C-101B-9397-08002B2CF9AE}" pid="6" name="MSIP_Label_65bd367d-9e3b-49e5-aa9a-caafdafee3aa_SiteId">
    <vt:lpwstr>9be3e276-28d8-4cd8-8f84-02cf1911da9c</vt:lpwstr>
  </property>
  <property fmtid="{D5CDD505-2E9C-101B-9397-08002B2CF9AE}" pid="7" name="MSIP_Label_65bd367d-9e3b-49e5-aa9a-caafdafee3aa_ActionId">
    <vt:lpwstr>8c339faa-5473-46a7-9023-3457a101d883</vt:lpwstr>
  </property>
  <property fmtid="{D5CDD505-2E9C-101B-9397-08002B2CF9AE}" pid="8" name="MSIP_Label_65bd367d-9e3b-49e5-aa9a-caafdafee3aa_ContentBits">
    <vt:lpwstr>0</vt:lpwstr>
  </property>
  <property fmtid="{D5CDD505-2E9C-101B-9397-08002B2CF9AE}" pid="9" name="ContentTypeId">
    <vt:lpwstr>0x0101007B1F972426100A47AF886BBD1E936878</vt:lpwstr>
  </property>
  <property fmtid="{D5CDD505-2E9C-101B-9397-08002B2CF9AE}" pid="10" name="MediaServiceImageTags">
    <vt:lpwstr/>
  </property>
</Properties>
</file>